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emocloud.sharepoint.com/sites/EXT-ESEMWorkingGroup/Shared Documents/ESEM Contract Co-Design/ESEM Working Group/Meeting Minutes/Workshop 3 (Meeting 4)/Finals for Publishing/"/>
    </mc:Choice>
  </mc:AlternateContent>
  <xr:revisionPtr revIDLastSave="9" documentId="8_{BBF0CD58-1796-4CE7-B31D-062F27D47973}" xr6:coauthVersionLast="47" xr6:coauthVersionMax="47" xr10:uidLastSave="{2F36F660-4579-407D-A57A-F34964A88EF3}"/>
  <bookViews>
    <workbookView xWindow="-28920" yWindow="945" windowWidth="29040" windowHeight="15720" tabRatio="500" activeTab="1" xr2:uid="{00000000-000D-0000-FFFF-FFFF00000000}"/>
  </bookViews>
  <sheets>
    <sheet name="Intro" sheetId="1" r:id="rId1"/>
    <sheet name="Ilustrative Comparison Tool"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30" i="4" l="1"/>
  <c r="I130" i="4"/>
  <c r="J130" i="4"/>
  <c r="K130" i="4"/>
  <c r="L130" i="4"/>
  <c r="M130" i="4"/>
  <c r="N130" i="4"/>
  <c r="I83" i="4"/>
  <c r="I90" i="4"/>
  <c r="O122" i="4"/>
  <c r="O107" i="4"/>
  <c r="O97" i="4"/>
  <c r="O96" i="4"/>
  <c r="O90" i="4"/>
  <c r="O89" i="4"/>
  <c r="O85" i="4"/>
  <c r="O84" i="4"/>
  <c r="O83" i="4"/>
  <c r="O82" i="4"/>
  <c r="O77" i="4"/>
  <c r="O76" i="4"/>
  <c r="O115" i="4" s="1"/>
  <c r="O72" i="4"/>
  <c r="O71" i="4"/>
  <c r="O70" i="4"/>
  <c r="O69" i="4"/>
  <c r="O63" i="4"/>
  <c r="O62" i="4"/>
  <c r="O61" i="4"/>
  <c r="O60" i="4"/>
  <c r="O59" i="4"/>
  <c r="E58" i="4"/>
  <c r="E67" i="4" s="1"/>
  <c r="E104" i="4" s="1"/>
  <c r="D58" i="4"/>
  <c r="D67" i="4" s="1"/>
  <c r="D104" i="4" s="1"/>
  <c r="C21" i="4"/>
  <c r="C9" i="4" s="1"/>
  <c r="C26" i="4" s="1"/>
  <c r="C30" i="4"/>
  <c r="C35" i="4"/>
  <c r="C36" i="4"/>
  <c r="I76" i="4"/>
  <c r="I115" i="4" s="1"/>
  <c r="I137" i="4" s="1"/>
  <c r="O58" i="4"/>
  <c r="O67" i="4" s="1"/>
  <c r="O104" i="4" s="1"/>
  <c r="N58" i="4"/>
  <c r="N67" i="4" s="1"/>
  <c r="N104" i="4" s="1"/>
  <c r="M58" i="4"/>
  <c r="M67" i="4" s="1"/>
  <c r="M104" i="4" s="1"/>
  <c r="L58" i="4"/>
  <c r="L67" i="4" s="1"/>
  <c r="L104" i="4" s="1"/>
  <c r="K58" i="4"/>
  <c r="K67" i="4" s="1"/>
  <c r="K104" i="4" s="1"/>
  <c r="J58" i="4"/>
  <c r="J67" i="4" s="1"/>
  <c r="J104" i="4" s="1"/>
  <c r="I58" i="4"/>
  <c r="I67" i="4" s="1"/>
  <c r="I104" i="4" s="1"/>
  <c r="H58" i="4"/>
  <c r="H67" i="4" s="1"/>
  <c r="H104" i="4" s="1"/>
  <c r="G58" i="4"/>
  <c r="G67" i="4" s="1"/>
  <c r="G104" i="4" s="1"/>
  <c r="F58" i="4"/>
  <c r="F67" i="4" s="1"/>
  <c r="F104" i="4" s="1"/>
  <c r="C58" i="4"/>
  <c r="C67" i="4" s="1"/>
  <c r="C104" i="4" s="1"/>
  <c r="C82" i="4" l="1"/>
  <c r="C11" i="4"/>
  <c r="C31" i="4"/>
  <c r="C16" i="4"/>
  <c r="C18" i="4" s="1"/>
  <c r="H83" i="4" l="1"/>
  <c r="H76" i="4"/>
  <c r="K76" i="4"/>
  <c r="L76" i="4"/>
  <c r="K83" i="4"/>
  <c r="L83" i="4"/>
  <c r="J83" i="4"/>
  <c r="J76" i="4"/>
  <c r="N76" i="4"/>
  <c r="M76" i="4"/>
  <c r="G76" i="4"/>
  <c r="F76" i="4"/>
  <c r="E76" i="4"/>
  <c r="D76" i="4"/>
  <c r="C76" i="4"/>
  <c r="G97" i="4" l="1"/>
  <c r="I97" i="4"/>
  <c r="N115" i="4"/>
  <c r="J115" i="4"/>
  <c r="L115" i="4"/>
  <c r="K115" i="4"/>
  <c r="C115" i="4"/>
  <c r="H115" i="4"/>
  <c r="D115" i="4"/>
  <c r="E115" i="4"/>
  <c r="F115" i="4"/>
  <c r="G115" i="4"/>
  <c r="M115" i="4"/>
  <c r="H97" i="4"/>
  <c r="J97" i="4"/>
  <c r="M97" i="4"/>
  <c r="L97" i="4"/>
  <c r="N97" i="4"/>
  <c r="K97" i="4"/>
  <c r="C97" i="4"/>
  <c r="E97" i="4"/>
  <c r="F97" i="4"/>
  <c r="D97" i="4"/>
  <c r="G83" i="4" l="1"/>
  <c r="F83" i="4"/>
  <c r="N83" i="4"/>
  <c r="M83" i="4"/>
  <c r="E83" i="4"/>
  <c r="D83" i="4"/>
  <c r="C61" i="4"/>
  <c r="C83" i="4"/>
  <c r="C70" i="4"/>
  <c r="C77" i="4" s="1"/>
  <c r="I70" i="4" l="1"/>
  <c r="I77" i="4" s="1"/>
  <c r="I116" i="4" s="1"/>
  <c r="H70" i="4"/>
  <c r="H77" i="4" s="1"/>
  <c r="H116" i="4" s="1"/>
  <c r="O116" i="4"/>
  <c r="N70" i="4"/>
  <c r="N77" i="4" s="1"/>
  <c r="N116" i="4" s="1"/>
  <c r="C116" i="4"/>
  <c r="N61" i="4"/>
  <c r="I61" i="4"/>
  <c r="H61" i="4"/>
  <c r="C108" i="4"/>
  <c r="K61" i="4"/>
  <c r="K108" i="4" s="1"/>
  <c r="L61" i="4"/>
  <c r="L108" i="4" s="1"/>
  <c r="J70" i="4"/>
  <c r="J77" i="4" s="1"/>
  <c r="J116" i="4" s="1"/>
  <c r="L70" i="4"/>
  <c r="L77" i="4" s="1"/>
  <c r="L116" i="4" s="1"/>
  <c r="K70" i="4"/>
  <c r="K77" i="4" s="1"/>
  <c r="K116" i="4" s="1"/>
  <c r="C98" i="4"/>
  <c r="J61" i="4"/>
  <c r="J108" i="4" s="1"/>
  <c r="C69" i="4"/>
  <c r="C71" i="4" s="1"/>
  <c r="M61" i="4"/>
  <c r="M108" i="4" s="1"/>
  <c r="M70" i="4"/>
  <c r="M77" i="4" s="1"/>
  <c r="M116" i="4" s="1"/>
  <c r="E70" i="4"/>
  <c r="E77" i="4" s="1"/>
  <c r="E116" i="4" s="1"/>
  <c r="G70" i="4"/>
  <c r="G77" i="4" s="1"/>
  <c r="G116" i="4" s="1"/>
  <c r="D70" i="4"/>
  <c r="D77" i="4" s="1"/>
  <c r="D116" i="4" s="1"/>
  <c r="F70" i="4"/>
  <c r="F77" i="4" s="1"/>
  <c r="F116" i="4" s="1"/>
  <c r="F61" i="4"/>
  <c r="G61" i="4"/>
  <c r="D61" i="4"/>
  <c r="E61" i="4"/>
  <c r="E108" i="4" s="1"/>
  <c r="C84" i="4"/>
  <c r="D84" i="4" l="1"/>
  <c r="D98" i="4"/>
  <c r="I129" i="4"/>
  <c r="H129" i="4"/>
  <c r="H131" i="4" s="1"/>
  <c r="I82" i="4"/>
  <c r="O129" i="4"/>
  <c r="O136" i="4" s="1"/>
  <c r="I122" i="4"/>
  <c r="I108" i="4"/>
  <c r="I123" i="4" s="1"/>
  <c r="I84" i="4"/>
  <c r="I85" i="4" s="1"/>
  <c r="I98" i="4"/>
  <c r="O125" i="4"/>
  <c r="O98" i="4"/>
  <c r="I107" i="4"/>
  <c r="I69" i="4"/>
  <c r="H69" i="4"/>
  <c r="N69" i="4"/>
  <c r="N75" i="4" s="1"/>
  <c r="J123" i="4"/>
  <c r="L123" i="4"/>
  <c r="K123" i="4"/>
  <c r="C123" i="4"/>
  <c r="C130" i="4" s="1"/>
  <c r="C137" i="4" s="1"/>
  <c r="M123" i="4"/>
  <c r="O108" i="4"/>
  <c r="J122" i="4"/>
  <c r="J129" i="4" s="1"/>
  <c r="J136" i="4" s="1"/>
  <c r="G122" i="4"/>
  <c r="G129" i="4" s="1"/>
  <c r="G136" i="4" s="1"/>
  <c r="F122" i="4"/>
  <c r="F129" i="4" s="1"/>
  <c r="F136" i="4" s="1"/>
  <c r="H122" i="4"/>
  <c r="H136" i="4" s="1"/>
  <c r="E122" i="4"/>
  <c r="E129" i="4" s="1"/>
  <c r="E136" i="4" s="1"/>
  <c r="D122" i="4"/>
  <c r="D129" i="4" s="1"/>
  <c r="D136" i="4" s="1"/>
  <c r="C122" i="4"/>
  <c r="C129" i="4" s="1"/>
  <c r="C136" i="4" s="1"/>
  <c r="H82" i="4"/>
  <c r="N122" i="4"/>
  <c r="N129" i="4" s="1"/>
  <c r="N136" i="4" s="1"/>
  <c r="M122" i="4"/>
  <c r="M129" i="4" s="1"/>
  <c r="M136" i="4" s="1"/>
  <c r="L122" i="4"/>
  <c r="L129" i="4" s="1"/>
  <c r="L136" i="4" s="1"/>
  <c r="K122" i="4"/>
  <c r="K129" i="4" s="1"/>
  <c r="K136" i="4" s="1"/>
  <c r="H90" i="4"/>
  <c r="C90" i="4"/>
  <c r="E90" i="4"/>
  <c r="H108" i="4"/>
  <c r="H84" i="4"/>
  <c r="H98" i="4"/>
  <c r="K69" i="4"/>
  <c r="H107" i="4"/>
  <c r="E107" i="4"/>
  <c r="D107" i="4"/>
  <c r="C107" i="4"/>
  <c r="N107" i="4"/>
  <c r="M107" i="4"/>
  <c r="L107" i="4"/>
  <c r="K107" i="4"/>
  <c r="J107" i="4"/>
  <c r="G107" i="4"/>
  <c r="F107" i="4"/>
  <c r="D108" i="4"/>
  <c r="G98" i="4"/>
  <c r="G108" i="4"/>
  <c r="N98" i="4"/>
  <c r="N108" i="4"/>
  <c r="F98" i="4"/>
  <c r="F108" i="4"/>
  <c r="E98" i="4"/>
  <c r="E123" i="4"/>
  <c r="L98" i="4"/>
  <c r="L84" i="4"/>
  <c r="K98" i="4"/>
  <c r="K84" i="4"/>
  <c r="J82" i="4"/>
  <c r="K82" i="4"/>
  <c r="L82" i="4"/>
  <c r="K90" i="4"/>
  <c r="J90" i="4"/>
  <c r="L90" i="4"/>
  <c r="J69" i="4"/>
  <c r="J75" i="4" s="1"/>
  <c r="J114" i="4" s="1"/>
  <c r="L69" i="4"/>
  <c r="J84" i="4"/>
  <c r="J98" i="4"/>
  <c r="C75" i="4"/>
  <c r="C78" i="4" s="1"/>
  <c r="M84" i="4"/>
  <c r="M98" i="4"/>
  <c r="N90" i="4"/>
  <c r="F90" i="4"/>
  <c r="M90" i="4"/>
  <c r="D90" i="4"/>
  <c r="F84" i="4"/>
  <c r="G84" i="4"/>
  <c r="N84" i="4"/>
  <c r="F69" i="4"/>
  <c r="M69" i="4"/>
  <c r="D69" i="4"/>
  <c r="G69" i="4"/>
  <c r="E69" i="4"/>
  <c r="G90" i="4"/>
  <c r="C59" i="4"/>
  <c r="F82" i="4"/>
  <c r="G82" i="4"/>
  <c r="E84" i="4"/>
  <c r="C85" i="4"/>
  <c r="C125" i="4" s="1"/>
  <c r="N82" i="4"/>
  <c r="D82" i="4"/>
  <c r="M82" i="4"/>
  <c r="E82" i="4"/>
  <c r="I124" i="4" l="1"/>
  <c r="C86" i="4"/>
  <c r="I136" i="4"/>
  <c r="I138" i="4" s="1"/>
  <c r="I131" i="4"/>
  <c r="C114" i="4"/>
  <c r="N78" i="4"/>
  <c r="N114" i="4"/>
  <c r="O75" i="4"/>
  <c r="O114" i="4" s="1"/>
  <c r="I59" i="4"/>
  <c r="H59" i="4"/>
  <c r="H60" i="4" s="1"/>
  <c r="H96" i="4" s="1"/>
  <c r="H99" i="4" s="1"/>
  <c r="H139" i="4" s="1"/>
  <c r="N59" i="4"/>
  <c r="I75" i="4"/>
  <c r="I114" i="4" s="1"/>
  <c r="I71" i="4"/>
  <c r="I72" i="4" s="1"/>
  <c r="I109" i="4"/>
  <c r="I125" i="4"/>
  <c r="D123" i="4"/>
  <c r="D130" i="4" s="1"/>
  <c r="D131" i="4" s="1"/>
  <c r="G123" i="4"/>
  <c r="G130" i="4" s="1"/>
  <c r="G131" i="4" s="1"/>
  <c r="M109" i="4"/>
  <c r="H123" i="4"/>
  <c r="H124" i="4" s="1"/>
  <c r="J109" i="4"/>
  <c r="K109" i="4"/>
  <c r="L109" i="4"/>
  <c r="F123" i="4"/>
  <c r="F130" i="4" s="1"/>
  <c r="F131" i="4" s="1"/>
  <c r="N123" i="4"/>
  <c r="N124" i="4" s="1"/>
  <c r="O123" i="4"/>
  <c r="O124" i="4" s="1"/>
  <c r="O126" i="4" s="1"/>
  <c r="O109" i="4"/>
  <c r="M124" i="4"/>
  <c r="H109" i="4"/>
  <c r="J131" i="4"/>
  <c r="J124" i="4"/>
  <c r="H85" i="4"/>
  <c r="H125" i="4" s="1"/>
  <c r="E124" i="4"/>
  <c r="C124" i="4"/>
  <c r="C126" i="4" s="1"/>
  <c r="C131" i="4"/>
  <c r="K124" i="4"/>
  <c r="C138" i="4"/>
  <c r="L124" i="4"/>
  <c r="K131" i="4"/>
  <c r="L131" i="4"/>
  <c r="M131" i="4"/>
  <c r="H75" i="4"/>
  <c r="H114" i="4" s="1"/>
  <c r="H71" i="4"/>
  <c r="H72" i="4" s="1"/>
  <c r="N109" i="4"/>
  <c r="D109" i="4"/>
  <c r="E109" i="4"/>
  <c r="J85" i="4"/>
  <c r="J125" i="4" s="1"/>
  <c r="F109" i="4"/>
  <c r="G109" i="4"/>
  <c r="F59" i="4"/>
  <c r="F62" i="4" s="1"/>
  <c r="C109" i="4"/>
  <c r="E130" i="4"/>
  <c r="E131" i="4" s="1"/>
  <c r="K137" i="4"/>
  <c r="K138" i="4" s="1"/>
  <c r="L137" i="4"/>
  <c r="L138" i="4" s="1"/>
  <c r="M137" i="4"/>
  <c r="M138" i="4" s="1"/>
  <c r="J137" i="4"/>
  <c r="J138" i="4" s="1"/>
  <c r="J71" i="4"/>
  <c r="N71" i="4"/>
  <c r="N72" i="4" s="1"/>
  <c r="L59" i="4"/>
  <c r="K59" i="4"/>
  <c r="L85" i="4"/>
  <c r="L125" i="4" s="1"/>
  <c r="K85" i="4"/>
  <c r="L71" i="4"/>
  <c r="L75" i="4"/>
  <c r="L114" i="4" s="1"/>
  <c r="K75" i="4"/>
  <c r="K114" i="4" s="1"/>
  <c r="K71" i="4"/>
  <c r="J78" i="4"/>
  <c r="C60" i="4"/>
  <c r="C96" i="4" s="1"/>
  <c r="C99" i="4" s="1"/>
  <c r="J59" i="4"/>
  <c r="G71" i="4"/>
  <c r="G72" i="4" s="1"/>
  <c r="G75" i="4"/>
  <c r="G114" i="4" s="1"/>
  <c r="F71" i="4"/>
  <c r="F72" i="4" s="1"/>
  <c r="F75" i="4"/>
  <c r="F114" i="4" s="1"/>
  <c r="D71" i="4"/>
  <c r="D72" i="4" s="1"/>
  <c r="D75" i="4"/>
  <c r="D114" i="4" s="1"/>
  <c r="E71" i="4"/>
  <c r="E75" i="4"/>
  <c r="E114" i="4" s="1"/>
  <c r="M71" i="4"/>
  <c r="M72" i="4" s="1"/>
  <c r="M75" i="4"/>
  <c r="M114" i="4" s="1"/>
  <c r="C72" i="4"/>
  <c r="M85" i="4"/>
  <c r="M125" i="4" s="1"/>
  <c r="G85" i="4"/>
  <c r="G125" i="4" s="1"/>
  <c r="F85" i="4"/>
  <c r="F125" i="4" s="1"/>
  <c r="N85" i="4"/>
  <c r="N125" i="4" s="1"/>
  <c r="G59" i="4"/>
  <c r="E59" i="4"/>
  <c r="D59" i="4"/>
  <c r="D62" i="4" s="1"/>
  <c r="D63" i="4" s="1"/>
  <c r="D89" i="4" s="1"/>
  <c r="M59" i="4"/>
  <c r="C62" i="4"/>
  <c r="E85" i="4"/>
  <c r="E125" i="4" s="1"/>
  <c r="D85" i="4"/>
  <c r="D125" i="4" s="1"/>
  <c r="I126" i="4" l="1"/>
  <c r="C63" i="4"/>
  <c r="C89" i="4" s="1"/>
  <c r="C91" i="4" s="1"/>
  <c r="C92" i="4" s="1"/>
  <c r="N118" i="4"/>
  <c r="N79" i="4"/>
  <c r="C118" i="4"/>
  <c r="C79" i="4"/>
  <c r="J118" i="4"/>
  <c r="J79" i="4"/>
  <c r="O130" i="4"/>
  <c r="O131" i="4" s="1"/>
  <c r="I86" i="4"/>
  <c r="C111" i="4"/>
  <c r="C117" i="4"/>
  <c r="O86" i="4"/>
  <c r="E126" i="4"/>
  <c r="D124" i="4"/>
  <c r="D126" i="4" s="1"/>
  <c r="G111" i="4"/>
  <c r="G117" i="4"/>
  <c r="I111" i="4"/>
  <c r="I117" i="4"/>
  <c r="F111" i="4"/>
  <c r="F117" i="4"/>
  <c r="E111" i="4"/>
  <c r="E117" i="4"/>
  <c r="D117" i="4"/>
  <c r="D111" i="4"/>
  <c r="K111" i="4"/>
  <c r="K117" i="4"/>
  <c r="N111" i="4"/>
  <c r="N117" i="4"/>
  <c r="O117" i="4"/>
  <c r="O111" i="4"/>
  <c r="N126" i="4"/>
  <c r="G124" i="4"/>
  <c r="G126" i="4" s="1"/>
  <c r="J111" i="4"/>
  <c r="J117" i="4"/>
  <c r="L126" i="4"/>
  <c r="L117" i="4"/>
  <c r="L111" i="4"/>
  <c r="J126" i="4"/>
  <c r="H126" i="4"/>
  <c r="M111" i="4"/>
  <c r="M117" i="4"/>
  <c r="H111" i="4"/>
  <c r="H117" i="4"/>
  <c r="N131" i="4"/>
  <c r="M126" i="4"/>
  <c r="I78" i="4"/>
  <c r="O91" i="4"/>
  <c r="O92" i="4" s="1"/>
  <c r="O93" i="4" s="1"/>
  <c r="O99" i="4"/>
  <c r="O100" i="4" s="1"/>
  <c r="F124" i="4"/>
  <c r="F126" i="4" s="1"/>
  <c r="I60" i="4"/>
  <c r="I96" i="4" s="1"/>
  <c r="I99" i="4" s="1"/>
  <c r="I62" i="4"/>
  <c r="I63" i="4" s="1"/>
  <c r="I89" i="4" s="1"/>
  <c r="I91" i="4" s="1"/>
  <c r="I92" i="4" s="1"/>
  <c r="O78" i="4"/>
  <c r="H62" i="4"/>
  <c r="H63" i="4" s="1"/>
  <c r="H89" i="4" s="1"/>
  <c r="H91" i="4" s="1"/>
  <c r="H92" i="4" s="1"/>
  <c r="H132" i="4" s="1"/>
  <c r="H133" i="4" s="1"/>
  <c r="N60" i="4"/>
  <c r="N96" i="4" s="1"/>
  <c r="N99" i="4" s="1"/>
  <c r="N62" i="4"/>
  <c r="H137" i="4"/>
  <c r="H138" i="4" s="1"/>
  <c r="H140" i="4" s="1"/>
  <c r="H78" i="4"/>
  <c r="H79" i="4" s="1"/>
  <c r="H100" i="4"/>
  <c r="H86" i="4"/>
  <c r="K125" i="4"/>
  <c r="K126" i="4" s="1"/>
  <c r="K86" i="4"/>
  <c r="E86" i="4"/>
  <c r="J72" i="4"/>
  <c r="J86" i="4"/>
  <c r="E137" i="4"/>
  <c r="E138" i="4" s="1"/>
  <c r="F137" i="4"/>
  <c r="F138" i="4" s="1"/>
  <c r="G137" i="4"/>
  <c r="G138" i="4" s="1"/>
  <c r="D137" i="4"/>
  <c r="D138" i="4" s="1"/>
  <c r="C100" i="4"/>
  <c r="C139" i="4"/>
  <c r="C140" i="4" s="1"/>
  <c r="L60" i="4"/>
  <c r="L96" i="4" s="1"/>
  <c r="L99" i="4" s="1"/>
  <c r="L62" i="4"/>
  <c r="L63" i="4" s="1"/>
  <c r="L89" i="4" s="1"/>
  <c r="L91" i="4" s="1"/>
  <c r="L92" i="4" s="1"/>
  <c r="K62" i="4"/>
  <c r="K63" i="4" s="1"/>
  <c r="K89" i="4" s="1"/>
  <c r="K91" i="4" s="1"/>
  <c r="K92" i="4" s="1"/>
  <c r="K60" i="4"/>
  <c r="K96" i="4" s="1"/>
  <c r="K99" i="4" s="1"/>
  <c r="K139" i="4" s="1"/>
  <c r="K140" i="4" s="1"/>
  <c r="K72" i="4"/>
  <c r="K78" i="4"/>
  <c r="L78" i="4"/>
  <c r="L79" i="4" s="1"/>
  <c r="L72" i="4"/>
  <c r="L86" i="4"/>
  <c r="J62" i="4"/>
  <c r="J63" i="4" s="1"/>
  <c r="J89" i="4" s="1"/>
  <c r="J91" i="4" s="1"/>
  <c r="J92" i="4" s="1"/>
  <c r="J93" i="4" s="1"/>
  <c r="J60" i="4"/>
  <c r="J96" i="4" s="1"/>
  <c r="J99" i="4" s="1"/>
  <c r="M86" i="4"/>
  <c r="E72" i="4"/>
  <c r="F78" i="4"/>
  <c r="F79" i="4" s="1"/>
  <c r="G78" i="4"/>
  <c r="E78" i="4"/>
  <c r="E79" i="4" s="1"/>
  <c r="D78" i="4"/>
  <c r="D79" i="4" s="1"/>
  <c r="M78" i="4"/>
  <c r="M79" i="4" s="1"/>
  <c r="E62" i="4"/>
  <c r="E63" i="4" s="1"/>
  <c r="E89" i="4" s="1"/>
  <c r="E91" i="4" s="1"/>
  <c r="E60" i="4"/>
  <c r="E96" i="4" s="1"/>
  <c r="E99" i="4" s="1"/>
  <c r="F86" i="4"/>
  <c r="F63" i="4"/>
  <c r="F89" i="4" s="1"/>
  <c r="F91" i="4" s="1"/>
  <c r="F92" i="4" s="1"/>
  <c r="F60" i="4"/>
  <c r="F96" i="4" s="1"/>
  <c r="F99" i="4" s="1"/>
  <c r="N86" i="4"/>
  <c r="M62" i="4"/>
  <c r="M63" i="4" s="1"/>
  <c r="M89" i="4" s="1"/>
  <c r="M91" i="4" s="1"/>
  <c r="M92" i="4" s="1"/>
  <c r="M60" i="4"/>
  <c r="M96" i="4" s="1"/>
  <c r="M99" i="4" s="1"/>
  <c r="D86" i="4"/>
  <c r="G62" i="4"/>
  <c r="G63" i="4" s="1"/>
  <c r="G89" i="4" s="1"/>
  <c r="G91" i="4" s="1"/>
  <c r="G92" i="4" s="1"/>
  <c r="G60" i="4"/>
  <c r="G96" i="4" s="1"/>
  <c r="G99" i="4" s="1"/>
  <c r="D91" i="4"/>
  <c r="D92" i="4" s="1"/>
  <c r="D60" i="4"/>
  <c r="D96" i="4" s="1"/>
  <c r="D99" i="4" s="1"/>
  <c r="G86" i="4"/>
  <c r="C119" i="4" l="1"/>
  <c r="C93" i="4"/>
  <c r="C132" i="4"/>
  <c r="C133" i="4" s="1"/>
  <c r="N119" i="4"/>
  <c r="J119" i="4"/>
  <c r="O118" i="4"/>
  <c r="O119" i="4" s="1"/>
  <c r="O79" i="4"/>
  <c r="I118" i="4"/>
  <c r="I119" i="4" s="1"/>
  <c r="I79" i="4"/>
  <c r="K118" i="4"/>
  <c r="K119" i="4" s="1"/>
  <c r="K79" i="4"/>
  <c r="G118" i="4"/>
  <c r="G119" i="4" s="1"/>
  <c r="G79" i="4"/>
  <c r="O137" i="4"/>
  <c r="O138" i="4" s="1"/>
  <c r="N137" i="4"/>
  <c r="N138" i="4" s="1"/>
  <c r="O139" i="4"/>
  <c r="O132" i="4"/>
  <c r="O133" i="4" s="1"/>
  <c r="I100" i="4"/>
  <c r="I139" i="4"/>
  <c r="I140" i="4" s="1"/>
  <c r="I93" i="4"/>
  <c r="I132" i="4"/>
  <c r="I133" i="4" s="1"/>
  <c r="N63" i="4"/>
  <c r="N89" i="4" s="1"/>
  <c r="N91" i="4" s="1"/>
  <c r="N92" i="4" s="1"/>
  <c r="M118" i="4"/>
  <c r="M119" i="4" s="1"/>
  <c r="H118" i="4"/>
  <c r="H119" i="4" s="1"/>
  <c r="D118" i="4"/>
  <c r="D119" i="4" s="1"/>
  <c r="L118" i="4"/>
  <c r="L119" i="4" s="1"/>
  <c r="E118" i="4"/>
  <c r="E119" i="4" s="1"/>
  <c r="F118" i="4"/>
  <c r="F119" i="4" s="1"/>
  <c r="H93" i="4"/>
  <c r="K100" i="4"/>
  <c r="K93" i="4"/>
  <c r="K132" i="4"/>
  <c r="K133" i="4" s="1"/>
  <c r="G100" i="4"/>
  <c r="G139" i="4"/>
  <c r="G140" i="4" s="1"/>
  <c r="G93" i="4"/>
  <c r="G132" i="4"/>
  <c r="G133" i="4" s="1"/>
  <c r="N100" i="4"/>
  <c r="N139" i="4"/>
  <c r="M100" i="4"/>
  <c r="M139" i="4"/>
  <c r="M140" i="4" s="1"/>
  <c r="M93" i="4"/>
  <c r="M132" i="4"/>
  <c r="M133" i="4" s="1"/>
  <c r="D100" i="4"/>
  <c r="D139" i="4"/>
  <c r="D140" i="4" s="1"/>
  <c r="D93" i="4"/>
  <c r="D132" i="4"/>
  <c r="D133" i="4" s="1"/>
  <c r="E100" i="4"/>
  <c r="E139" i="4"/>
  <c r="E140" i="4" s="1"/>
  <c r="F100" i="4"/>
  <c r="F139" i="4"/>
  <c r="F140" i="4" s="1"/>
  <c r="J100" i="4"/>
  <c r="J139" i="4"/>
  <c r="J140" i="4" s="1"/>
  <c r="F93" i="4"/>
  <c r="F132" i="4"/>
  <c r="F133" i="4" s="1"/>
  <c r="J132" i="4"/>
  <c r="J133" i="4" s="1"/>
  <c r="L93" i="4"/>
  <c r="L132" i="4"/>
  <c r="L133" i="4" s="1"/>
  <c r="L100" i="4"/>
  <c r="L139" i="4"/>
  <c r="L140" i="4" s="1"/>
  <c r="E92" i="4"/>
  <c r="O140" i="4" l="1"/>
  <c r="N140" i="4"/>
  <c r="N93" i="4"/>
  <c r="N132" i="4"/>
  <c r="N133" i="4" s="1"/>
  <c r="E93" i="4"/>
  <c r="E132" i="4"/>
  <c r="E13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7" authorId="0" shapeId="0" xr:uid="{00000000-0006-0000-0100-000001000000}">
      <text>
        <r>
          <rPr>
            <sz val="10"/>
            <rFont val="Arial"/>
            <family val="2"/>
          </rPr>
          <t>Nameplate capacity of the seller's own generation asset.</t>
        </r>
      </text>
    </comment>
    <comment ref="C9" authorId="0" shapeId="0" xr:uid="{00000000-0006-0000-0100-000002000000}">
      <text>
        <r>
          <rPr>
            <sz val="10"/>
            <rFont val="Arial"/>
            <family val="2"/>
          </rPr>
          <t>Actual metered output of the seller's own asset for the settlement period.</t>
        </r>
      </text>
    </comment>
    <comment ref="C10" authorId="0" shapeId="0" xr:uid="{00000000-0006-0000-0100-000003000000}">
      <text>
        <r>
          <rPr>
            <sz val="10"/>
            <rFont val="Arial"/>
            <family val="2"/>
          </rPr>
          <t>Dispatch-weighted average price actually achieved by the seller's own asset for the period.</t>
        </r>
      </text>
    </comment>
    <comment ref="C14" authorId="0" shapeId="0" xr:uid="{00000000-0006-0000-0100-000004000000}">
      <text>
        <r>
          <rPr>
            <sz val="10"/>
            <rFont val="Arial"/>
            <family val="2"/>
          </rPr>
          <t>Capacity of the reference/average fleet used to benchmark performance (e.g. regional average project of the same size/technology).</t>
        </r>
      </text>
    </comment>
    <comment ref="C16" authorId="0" shapeId="0" xr:uid="{00000000-0006-0000-0100-000005000000}">
      <text>
        <r>
          <rPr>
            <sz val="10"/>
            <rFont val="Arial"/>
            <family val="2"/>
          </rPr>
          <t>Actual ex-post output of the reference/average fleet for the same period.</t>
        </r>
      </text>
    </comment>
    <comment ref="C17" authorId="0" shapeId="0" xr:uid="{00000000-0006-0000-0100-000006000000}">
      <text>
        <r>
          <rPr>
            <sz val="10"/>
            <rFont val="Arial"/>
            <family val="2"/>
          </rPr>
          <t>Regional dispatch-weighted average price achieved by the reference fleet for the period.</t>
        </r>
      </text>
    </comment>
    <comment ref="C24" authorId="0" shapeId="0" xr:uid="{00000000-0006-0000-0100-000009000000}">
      <text>
        <r>
          <rPr>
            <sz val="10"/>
            <rFont val="Arial"/>
            <family val="2"/>
          </rPr>
          <t>Fixed strike price agreed at signing for the ex-post DWA swap. Set equal to Reference DWA by default so the baseline case is roughly fair value - change this to test richer/cheaper strikes.</t>
        </r>
      </text>
    </comment>
    <comment ref="C29" authorId="0" shapeId="0" xr:uid="{00000000-0006-0000-0100-000007000000}">
      <text>
        <r>
          <rPr>
            <sz val="10"/>
            <rFont val="Arial"/>
            <family val="2"/>
          </rPr>
          <t>The share of the project's own capacity sold under this contract. Set below 100% to model a partial hedge - the unhedged share still generates and sells at merchant price with no swap protection either way.</t>
        </r>
      </text>
    </comment>
    <comment ref="C30" authorId="0" shapeId="0" xr:uid="{00000000-0006-0000-0100-000008000000}">
      <text>
        <r>
          <rPr>
            <sz val="10"/>
            <rFont val="Arial"/>
            <family val="2"/>
          </rPr>
          <t>= Project capacity x Contracted proportion. This is the notional MW referenced by both swaps' settlement formulas.</t>
        </r>
      </text>
    </comment>
    <comment ref="C31" authorId="0" shapeId="0" xr:uid="{00000000-0006-0000-0100-00000A000000}">
      <text>
        <r>
          <rPr>
            <sz val="10"/>
            <rFont val="Arial"/>
            <family val="2"/>
          </rPr>
          <t>Fixed revenue per MW agreed at signing for the ex-post revenue swap. Set roughly equal to the reference fleet's revenue-per-MW by default so the baseline case is roughly fair value - change this to test richer/cheaper fixed rates.</t>
        </r>
      </text>
    </comment>
    <comment ref="C34" authorId="0" shapeId="0" xr:uid="{3090D8A0-6BAF-4C6E-ACE9-D7DE9C816B22}">
      <text>
        <r>
          <rPr>
            <sz val="10"/>
            <rFont val="Arial"/>
            <family val="2"/>
          </rPr>
          <t>The share of the project's own capacity sold under this contract. Set below 100% to model a partial hedge - the unhedged share still generates and sells at merchant price with no swap protection either way.</t>
        </r>
      </text>
    </comment>
    <comment ref="C35" authorId="0" shapeId="0" xr:uid="{14D3CE03-E244-451D-905A-B1C25FFFA74A}">
      <text>
        <r>
          <rPr>
            <sz val="10"/>
            <rFont val="Arial"/>
            <family val="2"/>
          </rPr>
          <t>= Project capacity x Contracted proportion. This is the notional MW referenced by both swaps' settlement formulas.</t>
        </r>
      </text>
    </comment>
    <comment ref="C36" authorId="0" shapeId="0" xr:uid="{5BD1333D-F8D6-4232-8B6E-2315BF68FF71}">
      <text>
        <r>
          <rPr>
            <sz val="10"/>
            <rFont val="Arial"/>
            <family val="2"/>
          </rPr>
          <t>Fixed revenue per MW agreed at signing for the ex-post revenue swap. Set roughly equal to the reference fleet's revenue-per-MW by default so the baseline case is roughly fair value - change this to test richer/cheaper fixed rates.</t>
        </r>
      </text>
    </comment>
  </commentList>
</comments>
</file>

<file path=xl/sharedStrings.xml><?xml version="1.0" encoding="utf-8"?>
<sst xmlns="http://schemas.openxmlformats.org/spreadsheetml/2006/main" count="158" uniqueCount="122">
  <si>
    <t>Purpose</t>
  </si>
  <si>
    <t>How to use it</t>
  </si>
  <si>
    <t>Key simplifications / assumptions</t>
  </si>
  <si>
    <t>- Single settlement period. Real contracts settle period-by-period across a term; mechanics shown here are per-period.</t>
  </si>
  <si>
    <t>- 'Own merchant revenue' (project generation x project DWA) is shown as a memo item outside both swaps, to show total seller cash flow.</t>
  </si>
  <si>
    <t>- DWA swap notional volume is scaled to the reference fleet's realised output per MW, multiplied by contracted MW.</t>
  </si>
  <si>
    <t>- Revenue swap settlement nets a fixed $/MW payment against the reference fleet's realised revenue per MW, scaled to contracted MW.</t>
  </si>
  <si>
    <t>- No transaction costs, credit risk, tax, or discounting are included — this isolates settlement mechanics only.</t>
  </si>
  <si>
    <t>Inputs</t>
  </si>
  <si>
    <t>Project (seller's own asset)</t>
  </si>
  <si>
    <t>Project capacity (MW)</t>
  </si>
  <si>
    <t>Project capacity factor (%)</t>
  </si>
  <si>
    <t>Project generation (MWh, period)</t>
  </si>
  <si>
    <t>Project DWA price ($/MWh)</t>
  </si>
  <si>
    <t>Project MWh/MW</t>
  </si>
  <si>
    <t>Reference / average fleet</t>
  </si>
  <si>
    <t>Reference fleet capacity (MW)</t>
  </si>
  <si>
    <t>Reference fleet capacity factor (%)</t>
  </si>
  <si>
    <t>Reference fleet generation (MWh, period)</t>
  </si>
  <si>
    <t>Reference fleet DWA price ($/MWh)</t>
  </si>
  <si>
    <t>Reference fleet MWh/MW</t>
  </si>
  <si>
    <t>Contract terms</t>
  </si>
  <si>
    <t>DWA Price swap</t>
  </si>
  <si>
    <t>DWA swap strike price ($/MWh)</t>
  </si>
  <si>
    <t>DWA swap volume contracted</t>
  </si>
  <si>
    <t>Revenue swap</t>
  </si>
  <si>
    <t>Contracted proportion of project capacity (%)</t>
  </si>
  <si>
    <t>Contracted / notional MW</t>
  </si>
  <si>
    <t>Revenue swap fixed rate ($/MW, period)</t>
  </si>
  <si>
    <t>Seller position</t>
  </si>
  <si>
    <t>Project revenue ($/MW)</t>
  </si>
  <si>
    <t>Reference revenue ($)</t>
  </si>
  <si>
    <t>Reference revenue ($/MW)</t>
  </si>
  <si>
    <t>Notional volume (MWh)</t>
  </si>
  <si>
    <t>DWA strike price ($/MWh)</t>
  </si>
  <si>
    <t>Price differential: Strike - Reference DWA ($/MWh)</t>
  </si>
  <si>
    <t>DWA swap settlement ($)</t>
  </si>
  <si>
    <t>Seller net position - PPA ($)</t>
  </si>
  <si>
    <t>Seller net position - DWA swap ($)</t>
  </si>
  <si>
    <t>Reference fleet revenue ($/MW)</t>
  </si>
  <si>
    <t>Strike revenue ($/MW)</t>
  </si>
  <si>
    <t>Revenue differential: Strike - Reference ($/MW)</t>
  </si>
  <si>
    <t>Revenue swap settlement ($)</t>
  </si>
  <si>
    <t>Seller net position - Revenue swap ($)</t>
  </si>
  <si>
    <t>Strike price ($/MWh)</t>
  </si>
  <si>
    <t>Seller net position - Ref. PPA ($)</t>
  </si>
  <si>
    <t>Buyer position</t>
  </si>
  <si>
    <t>Generation purchased</t>
  </si>
  <si>
    <t>Equivalent DWA price ($/MWh)</t>
  </si>
  <si>
    <t>Wholesale costs ($)</t>
  </si>
  <si>
    <t>Contract settlement ($)</t>
  </si>
  <si>
    <t>Net costs - merchant</t>
  </si>
  <si>
    <t>Net costs - DWA price swap</t>
  </si>
  <si>
    <t>Net costs - revenue swap</t>
  </si>
  <si>
    <t>Reference PPA</t>
  </si>
  <si>
    <t>Net costs - Reference PPA</t>
  </si>
  <si>
    <t>Reference PPA settlement ($)</t>
  </si>
  <si>
    <t>This is a simplified, illustrative tool of how the 'bulk energy' contract structures settle for a single period (e.g. a quarter). It is built to show HOW volume and price differences between a project's own performance and a reference/average fleet flow through to seller settlement under each contract — it is not a reproduction of the official contract terms, which remain subject to Working Group's consideration.</t>
  </si>
  <si>
    <r>
      <rPr>
        <b/>
        <sz val="11"/>
        <color theme="1"/>
        <rFont val="Arial Nova"/>
        <family val="2"/>
      </rPr>
      <t>Copyright</t>
    </r>
    <r>
      <rPr>
        <sz val="11"/>
        <color theme="1"/>
        <rFont val="Arial Nova"/>
        <family val="2"/>
      </rPr>
      <t xml:space="preserve">
© 2026 AusEnergy Services Limited</t>
    </r>
  </si>
  <si>
    <r>
      <rPr>
        <b/>
        <sz val="11"/>
        <color theme="1"/>
        <rFont val="Arial Nova"/>
        <family val="2"/>
      </rPr>
      <t>Disclaimer:</t>
    </r>
    <r>
      <rPr>
        <sz val="11"/>
        <color theme="1"/>
        <rFont val="Arial Nova"/>
        <family val="2"/>
      </rPr>
      <t xml:space="preserve">
This document does not constitute legal or business advice and should not be relied on as a substitute for obtaining detailed advice about the National Electricity Law, the National Electricity Rules, or any other applicable laws, regulations, procedures or policies or independent market forecasts.
AusEnergy Services Limited (ASL) has made every effort to ensure the quality of the information in this document but cannot guarantee the completeness, accuracy, adequacy or currency of that information. Accordingly, to the maximum extent permitted by law, ASL and its officers, employees and consultants involved in the preparation of this document:
- make no representation or warranty, express or implied, as to the currency, accuracy, reliability or completeness of the information in this document; and 
- are not liable (whether by reason of negligence or otherwise) for any statements or representations in this document, or any omissions from it, or for any use or reliance on the information in it.
This document includes generic input values which are not intended to represent real or indicative values. This tool has been made for the purpose of supporting comparison between the different contract structures under consideration by the Working Group and do not represent ASL’s view of actual or potential project characteristics, costs or revenue requirements.</t>
    </r>
  </si>
  <si>
    <t>Calculation Period (hours)</t>
  </si>
  <si>
    <t>Input set to equivalent to DWA swap price</t>
  </si>
  <si>
    <t>Input set to the same as the DWA strike price</t>
  </si>
  <si>
    <t>Set to quarterly</t>
  </si>
  <si>
    <t>- Assume buyer needs to purchase the same volume of energy as contracted under the DWA price swap</t>
  </si>
  <si>
    <t xml:space="preserve">Scenario </t>
  </si>
  <si>
    <t>Description</t>
  </si>
  <si>
    <t>Project and reference are matched.</t>
  </si>
  <si>
    <t>Project obtains a lower DWAP than the reference.</t>
  </si>
  <si>
    <t>Project obtains a higher DWAP than the reference.</t>
  </si>
  <si>
    <t>Project output is less than the reference.</t>
  </si>
  <si>
    <t>Project output is more than the reference.</t>
  </si>
  <si>
    <t>Project suffers a severe FM event which prevents most output.</t>
  </si>
  <si>
    <t>Volume Change %</t>
  </si>
  <si>
    <t>DWAP Change %</t>
  </si>
  <si>
    <t>Project</t>
  </si>
  <si>
    <t>Base Case</t>
  </si>
  <si>
    <t>Scenario Builder</t>
  </si>
  <si>
    <t>PPA</t>
  </si>
  <si>
    <t>Project merchant revenue ($)</t>
  </si>
  <si>
    <t>Project generation volume (MWh)</t>
  </si>
  <si>
    <t>Reference fleet generation volume (MWh)</t>
  </si>
  <si>
    <t>Reference fleet generation volume per MW (MWh/MW)</t>
  </si>
  <si>
    <t>PPA strike price ($/MWh)</t>
  </si>
  <si>
    <t>Low volume and high prices, impacting project and reference equally</t>
  </si>
  <si>
    <t>User to input</t>
  </si>
  <si>
    <t>PPA swap settlement ($)</t>
  </si>
  <si>
    <t>Buyer net position - PPA ($)</t>
  </si>
  <si>
    <t>Price differential: Strike - Project DWA ($/MWh)</t>
  </si>
  <si>
    <t>Project volume (MWh)</t>
  </si>
  <si>
    <t>High volume and low prices, project performs better than the reference</t>
  </si>
  <si>
    <t>High volume and low prices, project performs worse than the reference</t>
  </si>
  <si>
    <t>Low volume and high prices, project performs better than the reference</t>
  </si>
  <si>
    <t>Low volume and high prices, project performs worse than the reference</t>
  </si>
  <si>
    <t>Merchant</t>
  </si>
  <si>
    <t>Reference Fleet</t>
  </si>
  <si>
    <t>&lt;&lt; Edit cells in orange to adapt the scenario from the Base Case. We have pre-filled with several 'stress-test' type scenarios.</t>
  </si>
  <si>
    <t>Bulk Energy Contract Structures: Settlement Comparison Tool</t>
  </si>
  <si>
    <t>1. Go to the 'Inputs' section. Enter the project's own capacity, generation, and DWA price for the period.</t>
  </si>
  <si>
    <t>2. Enter the reference/average fleet's capacity, generation, and DWA price for the same period.</t>
  </si>
  <si>
    <t>3. Enter the contracted (notional) MW, the DWA swap strike price, and the revenue swap's fixed $/MW rate.</t>
  </si>
  <si>
    <t>4. Go to 'Scenario Builder' to review and alter the pre-set scenarios. compare a Matched base case with various scenarios</t>
  </si>
  <si>
    <t>&lt;&lt; Edit cells in orange to adjust input parameters.</t>
  </si>
  <si>
    <t>- This is an analytical illustration to support directional comparisons, not a valuation or bankability model.</t>
  </si>
  <si>
    <t>Reference fleet</t>
  </si>
  <si>
    <t>High volume and low prices, impacting project and reference equally</t>
  </si>
  <si>
    <t>Contracted %</t>
  </si>
  <si>
    <t>Scenario 3: Project Volume &lt; Reference Volume</t>
  </si>
  <si>
    <t>Scenario 4: Project Volume &gt;  Reference Volume</t>
  </si>
  <si>
    <t xml:space="preserve">Scenario 1: Project DWAP &lt; Reference DWAP </t>
  </si>
  <si>
    <t>Scenario 2: Project DWAP &gt; Reference DWAP</t>
  </si>
  <si>
    <t>Scenario 5: FM Event</t>
  </si>
  <si>
    <t>Senario 6: VRE Drought</t>
  </si>
  <si>
    <t>Scenario 7: VRE drought, project underperforms</t>
  </si>
  <si>
    <t>Scenario 8: VRE drought, project overperforms</t>
  </si>
  <si>
    <t>Scenario 9: VRE oversupply</t>
  </si>
  <si>
    <t>Scenario 10: VRE oversupply, project underperforms</t>
  </si>
  <si>
    <t>Scenario 11: VRE oversupply, project overperforms</t>
  </si>
  <si>
    <t>Scenario 12: Blank</t>
  </si>
  <si>
    <t>All cells are automatically calculated based on the scenarios. &gt;&gt;</t>
  </si>
  <si>
    <t>Bulk Energy Contract Structures Settlement Comparison Tool</t>
  </si>
  <si>
    <t>5. Review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</si>
</sst>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quot;($&quot;#,##0.00\);\-"/>
    <numFmt numFmtId="167" formatCode="\$#,##0;&quot;($&quot;#,##0\);\-"/>
  </numFmts>
  <fonts count="33" x14ac:knownFonts="1">
    <font>
      <sz val="11"/>
      <color theme="1"/>
      <name val="Calibri"/>
      <family val="2"/>
      <charset val="1"/>
    </font>
    <font>
      <sz val="10"/>
      <name val="Arial"/>
      <family val="2"/>
    </font>
    <font>
      <b/>
      <sz val="11"/>
      <name val="Arial"/>
      <family val="2"/>
    </font>
    <font>
      <sz val="11"/>
      <color rgb="FF3F3F76"/>
      <name val="Calibri"/>
      <family val="2"/>
      <scheme val="minor"/>
    </font>
    <font>
      <sz val="11"/>
      <color theme="1"/>
      <name val="Calibri"/>
      <family val="2"/>
      <charset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1"/>
      <name val="Arial Nova"/>
      <family val="2"/>
    </font>
    <font>
      <b/>
      <sz val="10"/>
      <name val="Arial Nova"/>
      <family val="2"/>
    </font>
    <font>
      <sz val="10"/>
      <name val="Arial Nova"/>
      <family val="2"/>
    </font>
    <font>
      <b/>
      <sz val="11"/>
      <color theme="1"/>
      <name val="Arial Nova"/>
      <family val="2"/>
    </font>
    <font>
      <sz val="11"/>
      <name val="Arial Nova"/>
      <family val="2"/>
    </font>
    <font>
      <b/>
      <sz val="11"/>
      <name val="Arial Nova"/>
      <family val="2"/>
    </font>
    <font>
      <sz val="11"/>
      <color rgb="FF3F3F76"/>
      <name val="Arial Nova"/>
      <family val="2"/>
    </font>
    <font>
      <b/>
      <sz val="11"/>
      <color rgb="FFFA7D00"/>
      <name val="Arial Nova"/>
      <family val="2"/>
    </font>
    <font>
      <sz val="10"/>
      <color rgb="FF000000"/>
      <name val="Arial Nova"/>
      <family val="2"/>
    </font>
    <font>
      <b/>
      <sz val="13"/>
      <color theme="3"/>
      <name val="Arial Nova"/>
      <family val="2"/>
    </font>
    <font>
      <b/>
      <sz val="11"/>
      <color theme="3"/>
      <name val="Arial Nova"/>
      <family val="2"/>
    </font>
    <font>
      <i/>
      <sz val="11"/>
      <color rgb="FF7F7F7F"/>
      <name val="Arial Nova"/>
      <family val="2"/>
    </font>
    <font>
      <sz val="11"/>
      <color rgb="FF000000"/>
      <name val="Arial Nova"/>
      <family val="2"/>
    </font>
    <font>
      <sz val="10"/>
      <color theme="1"/>
      <name val="Arial Nova"/>
      <family val="2"/>
    </font>
    <font>
      <b/>
      <sz val="11"/>
      <color rgb="FF3F3F3F"/>
      <name val="Arial Nova"/>
      <family val="2"/>
    </font>
    <font>
      <sz val="10"/>
      <color rgb="FF3F3F76"/>
      <name val="Calibri"/>
      <family val="2"/>
      <scheme val="minor"/>
    </font>
    <font>
      <b/>
      <sz val="10"/>
      <color theme="1"/>
      <name val="Arial Nova"/>
      <family val="2"/>
    </font>
    <font>
      <b/>
      <sz val="10"/>
      <color rgb="FFFA7D00"/>
      <name val="Calibri"/>
      <family val="2"/>
      <scheme val="minor"/>
    </font>
    <font>
      <b/>
      <sz val="10"/>
      <color theme="3"/>
      <name val="Arial Nova"/>
      <family val="2"/>
    </font>
    <font>
      <b/>
      <sz val="30"/>
      <color theme="3"/>
      <name val="Arial Nova"/>
      <family val="2"/>
    </font>
    <font>
      <b/>
      <sz val="30"/>
      <color theme="3"/>
      <name val="Calibri"/>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rgb="FF4F81BD"/>
      </patternFill>
    </fill>
    <fill>
      <patternFill patternType="solid">
        <fgColor theme="0"/>
        <bgColor indexed="64"/>
      </patternFill>
    </fill>
  </fills>
  <borders count="17">
    <border>
      <left/>
      <right/>
      <top/>
      <bottom/>
      <diagonal/>
    </border>
    <border>
      <left style="thin">
        <color rgb="FFBFBFBF"/>
      </left>
      <right style="thin">
        <color rgb="FFBFBFBF"/>
      </right>
      <top style="thin">
        <color rgb="FFBFBFBF"/>
      </top>
      <bottom style="thin">
        <color rgb="FFBFBFBF"/>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style="thin">
        <color rgb="FF7F7F7F"/>
      </right>
      <top style="thin">
        <color rgb="FF7F7F7F"/>
      </top>
      <bottom style="thin">
        <color rgb="FF7F7F7F"/>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7F7F7F"/>
      </left>
      <right/>
      <top/>
      <bottom style="thin">
        <color rgb="FFB2B2B2"/>
      </bottom>
      <diagonal/>
    </border>
    <border>
      <left/>
      <right/>
      <top/>
      <bottom style="thin">
        <color rgb="FFB2B2B2"/>
      </bottom>
      <diagonal/>
    </border>
    <border>
      <left/>
      <right style="thin">
        <color rgb="FFB2B2B2"/>
      </right>
      <top/>
      <bottom style="thin">
        <color rgb="FFB2B2B2"/>
      </bottom>
      <diagonal/>
    </border>
  </borders>
  <cellStyleXfs count="10">
    <xf numFmtId="0" fontId="0" fillId="0" borderId="0"/>
    <xf numFmtId="0" fontId="3" fillId="2" borderId="2" applyNumberFormat="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9" fillId="3" borderId="6" applyNumberFormat="0" applyAlignment="0" applyProtection="0"/>
    <xf numFmtId="0" fontId="10" fillId="3" borderId="2" applyNumberFormat="0" applyAlignment="0" applyProtection="0"/>
    <xf numFmtId="0" fontId="4" fillId="4" borderId="7" applyNumberFormat="0" applyFont="0" applyAlignment="0" applyProtection="0"/>
    <xf numFmtId="0" fontId="11" fillId="0" borderId="0" applyNumberFormat="0" applyFill="0" applyBorder="0" applyAlignment="0" applyProtection="0"/>
  </cellStyleXfs>
  <cellXfs count="74">
    <xf numFmtId="0" fontId="0" fillId="0" borderId="0" xfId="0"/>
    <xf numFmtId="0" fontId="12" fillId="0" borderId="0" xfId="0" applyFont="1"/>
    <xf numFmtId="0" fontId="2" fillId="0" borderId="0" xfId="0" applyFont="1"/>
    <xf numFmtId="0" fontId="17" fillId="0" borderId="0" xfId="0" applyFont="1"/>
    <xf numFmtId="164" fontId="10" fillId="3" borderId="2" xfId="7" applyNumberFormat="1"/>
    <xf numFmtId="164" fontId="18" fillId="2" borderId="2" xfId="1" applyNumberFormat="1" applyFont="1"/>
    <xf numFmtId="9" fontId="18" fillId="2" borderId="2" xfId="1" applyNumberFormat="1" applyFont="1"/>
    <xf numFmtId="164" fontId="19" fillId="3" borderId="2" xfId="7" applyNumberFormat="1" applyFont="1"/>
    <xf numFmtId="3" fontId="19" fillId="3" borderId="2" xfId="7" applyNumberFormat="1" applyFont="1"/>
    <xf numFmtId="166" fontId="18" fillId="2" borderId="2" xfId="1" applyNumberFormat="1" applyFont="1"/>
    <xf numFmtId="165" fontId="18" fillId="2" borderId="2" xfId="1" applyNumberFormat="1" applyFont="1"/>
    <xf numFmtId="167" fontId="18" fillId="2" borderId="2" xfId="1" applyNumberFormat="1" applyFont="1"/>
    <xf numFmtId="0" fontId="21" fillId="5" borderId="4" xfId="4" applyFont="1" applyFill="1" applyAlignment="1">
      <alignment horizontal="left" vertical="center"/>
    </xf>
    <xf numFmtId="0" fontId="23" fillId="0" borderId="0" xfId="9" quotePrefix="1" applyFont="1"/>
    <xf numFmtId="0" fontId="16" fillId="0" borderId="0" xfId="0" applyFont="1"/>
    <xf numFmtId="164" fontId="24" fillId="0" borderId="1" xfId="0" applyNumberFormat="1" applyFont="1" applyBorder="1"/>
    <xf numFmtId="167" fontId="10" fillId="3" borderId="2" xfId="7" applyNumberFormat="1"/>
    <xf numFmtId="0" fontId="14" fillId="0" borderId="0" xfId="0" applyFont="1"/>
    <xf numFmtId="167" fontId="19" fillId="3" borderId="2" xfId="7" applyNumberFormat="1" applyFont="1"/>
    <xf numFmtId="167" fontId="20" fillId="0" borderId="0" xfId="0" applyNumberFormat="1" applyFont="1"/>
    <xf numFmtId="164" fontId="20" fillId="0" borderId="0" xfId="0" applyNumberFormat="1" applyFont="1"/>
    <xf numFmtId="167" fontId="20" fillId="6" borderId="0" xfId="0" applyNumberFormat="1" applyFont="1" applyFill="1"/>
    <xf numFmtId="164" fontId="20" fillId="6" borderId="0" xfId="0" applyNumberFormat="1" applyFont="1" applyFill="1"/>
    <xf numFmtId="0" fontId="12" fillId="6" borderId="0" xfId="0" applyFont="1" applyFill="1"/>
    <xf numFmtId="167" fontId="9" fillId="3" borderId="6" xfId="6" applyNumberFormat="1"/>
    <xf numFmtId="0" fontId="22" fillId="0" borderId="0" xfId="5" applyFont="1" applyBorder="1"/>
    <xf numFmtId="0" fontId="21" fillId="5" borderId="4" xfId="4" applyFont="1" applyFill="1" applyAlignment="1">
      <alignment vertical="center"/>
    </xf>
    <xf numFmtId="0" fontId="7" fillId="5" borderId="4" xfId="4" applyFill="1" applyAlignment="1">
      <alignment vertical="center"/>
    </xf>
    <xf numFmtId="0" fontId="22" fillId="0" borderId="0" xfId="5" applyFont="1" applyFill="1" applyBorder="1" applyAlignment="1">
      <alignment horizontal="left" vertical="top" wrapText="1"/>
    </xf>
    <xf numFmtId="0" fontId="25" fillId="0" borderId="0" xfId="0" applyFont="1"/>
    <xf numFmtId="167" fontId="26" fillId="3" borderId="6" xfId="6" applyNumberFormat="1" applyFont="1"/>
    <xf numFmtId="0" fontId="21" fillId="0" borderId="4" xfId="4" applyFont="1" applyFill="1" applyAlignment="1">
      <alignment vertical="center"/>
    </xf>
    <xf numFmtId="164" fontId="19" fillId="0" borderId="2" xfId="7" applyNumberFormat="1" applyFont="1" applyFill="1"/>
    <xf numFmtId="167" fontId="19" fillId="0" borderId="2" xfId="7" applyNumberFormat="1" applyFont="1" applyFill="1"/>
    <xf numFmtId="0" fontId="22" fillId="0" borderId="0" xfId="5" applyFont="1" applyFill="1" applyBorder="1"/>
    <xf numFmtId="0" fontId="7" fillId="0" borderId="4" xfId="4"/>
    <xf numFmtId="0" fontId="7" fillId="5" borderId="0" xfId="4" applyFill="1" applyBorder="1" applyAlignment="1">
      <alignment vertical="center"/>
    </xf>
    <xf numFmtId="0" fontId="7" fillId="0" borderId="0" xfId="4" applyBorder="1"/>
    <xf numFmtId="0" fontId="25" fillId="5" borderId="0" xfId="5" applyFont="1" applyFill="1" applyBorder="1" applyAlignment="1">
      <alignment horizontal="left" vertical="top" wrapText="1"/>
    </xf>
    <xf numFmtId="0" fontId="25" fillId="0" borderId="0" xfId="0" applyFont="1" applyAlignment="1">
      <alignment horizontal="left" vertical="center"/>
    </xf>
    <xf numFmtId="9" fontId="27" fillId="2" borderId="9" xfId="1" applyNumberFormat="1" applyFont="1" applyBorder="1"/>
    <xf numFmtId="9" fontId="27" fillId="2" borderId="10" xfId="1" applyNumberFormat="1" applyFont="1" applyBorder="1"/>
    <xf numFmtId="9" fontId="27" fillId="2" borderId="8" xfId="1" applyNumberFormat="1" applyFont="1" applyBorder="1"/>
    <xf numFmtId="9" fontId="27" fillId="2" borderId="2" xfId="1" applyNumberFormat="1" applyFont="1"/>
    <xf numFmtId="0" fontId="25" fillId="0" borderId="0" xfId="0" applyFont="1" applyAlignment="1">
      <alignment vertical="center"/>
    </xf>
    <xf numFmtId="0" fontId="28" fillId="0" borderId="0" xfId="0" applyFont="1"/>
    <xf numFmtId="164" fontId="29" fillId="3" borderId="2" xfId="7" applyNumberFormat="1" applyFont="1"/>
    <xf numFmtId="0" fontId="30" fillId="0" borderId="0" xfId="5" applyFont="1" applyFill="1" applyBorder="1" applyAlignment="1">
      <alignment horizontal="left" vertical="top" wrapText="1"/>
    </xf>
    <xf numFmtId="0" fontId="30" fillId="5" borderId="0" xfId="5" applyFont="1" applyFill="1" applyBorder="1" applyAlignment="1">
      <alignment horizontal="left" vertical="top" wrapText="1"/>
    </xf>
    <xf numFmtId="0" fontId="6" fillId="0" borderId="0" xfId="3" applyFill="1" applyBorder="1" applyAlignment="1">
      <alignment horizontal="left" vertical="center"/>
    </xf>
    <xf numFmtId="164" fontId="18" fillId="2" borderId="10" xfId="1" applyNumberFormat="1" applyFont="1" applyBorder="1"/>
    <xf numFmtId="0" fontId="5" fillId="0" borderId="0" xfId="2" applyFill="1" applyBorder="1" applyAlignment="1">
      <alignment horizontal="left" vertical="center"/>
    </xf>
    <xf numFmtId="0" fontId="13" fillId="4" borderId="7" xfId="8" applyFont="1" applyAlignment="1">
      <alignment horizontal="left" vertical="center" wrapText="1"/>
    </xf>
    <xf numFmtId="0" fontId="21" fillId="5" borderId="4" xfId="4" applyFont="1" applyFill="1" applyAlignment="1">
      <alignment horizontal="left" vertical="center"/>
    </xf>
    <xf numFmtId="0" fontId="28" fillId="4" borderId="7" xfId="8" quotePrefix="1" applyFont="1" applyAlignment="1">
      <alignment horizontal="left" vertical="center" wrapText="1"/>
    </xf>
    <xf numFmtId="0" fontId="31" fillId="0" borderId="3" xfId="3" applyFont="1" applyFill="1" applyAlignment="1">
      <alignment horizontal="left" vertical="center"/>
    </xf>
    <xf numFmtId="0" fontId="8" fillId="5" borderId="0" xfId="5" applyFill="1" applyBorder="1" applyAlignment="1">
      <alignment horizontal="left" vertical="center"/>
    </xf>
    <xf numFmtId="0" fontId="28" fillId="4" borderId="11" xfId="8" quotePrefix="1" applyFont="1" applyBorder="1" applyAlignment="1">
      <alignment horizontal="left" vertical="center" wrapText="1"/>
    </xf>
    <xf numFmtId="0" fontId="28" fillId="4" borderId="12" xfId="8" quotePrefix="1" applyFont="1" applyBorder="1" applyAlignment="1">
      <alignment horizontal="left" vertical="center" wrapText="1"/>
    </xf>
    <xf numFmtId="0" fontId="28" fillId="4" borderId="13" xfId="8" quotePrefix="1" applyFont="1" applyBorder="1" applyAlignment="1">
      <alignment horizontal="left" vertical="center" wrapText="1"/>
    </xf>
    <xf numFmtId="0" fontId="28" fillId="4" borderId="14" xfId="8" quotePrefix="1" applyFont="1" applyBorder="1" applyAlignment="1">
      <alignment horizontal="left" vertical="center" wrapText="1"/>
    </xf>
    <xf numFmtId="0" fontId="28" fillId="4" borderId="15" xfId="8" quotePrefix="1" applyFont="1" applyBorder="1" applyAlignment="1">
      <alignment horizontal="left" vertical="center" wrapText="1"/>
    </xf>
    <xf numFmtId="0" fontId="28" fillId="4" borderId="16" xfId="8" quotePrefix="1" applyFont="1" applyBorder="1" applyAlignment="1">
      <alignment horizontal="left" vertical="center" wrapText="1"/>
    </xf>
    <xf numFmtId="0" fontId="28" fillId="0" borderId="0" xfId="0" applyFont="1" applyAlignment="1">
      <alignment horizontal="left"/>
    </xf>
    <xf numFmtId="0" fontId="28" fillId="0" borderId="0" xfId="0" applyFont="1" applyAlignment="1">
      <alignment horizontal="center"/>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wrapText="1"/>
    </xf>
    <xf numFmtId="0" fontId="12" fillId="0" borderId="0" xfId="0" quotePrefix="1" applyFont="1" applyAlignment="1">
      <alignment wrapText="1"/>
    </xf>
    <xf numFmtId="0" fontId="12" fillId="0" borderId="0" xfId="0" quotePrefix="1" applyFont="1" applyAlignment="1">
      <alignment horizontal="left" wrapText="1"/>
    </xf>
    <xf numFmtId="0" fontId="16" fillId="0" borderId="0" xfId="0" applyFont="1" applyAlignment="1">
      <alignment wrapText="1"/>
    </xf>
    <xf numFmtId="0" fontId="32" fillId="0" borderId="3" xfId="3" applyFont="1" applyFill="1" applyAlignment="1">
      <alignment horizontal="left" vertical="center"/>
    </xf>
  </cellXfs>
  <cellStyles count="10">
    <cellStyle name="Calculation" xfId="7" builtinId="22"/>
    <cellStyle name="Explanatory Text" xfId="9" builtinId="53"/>
    <cellStyle name="Heading 1" xfId="3" builtinId="16"/>
    <cellStyle name="Heading 2" xfId="4" builtinId="17"/>
    <cellStyle name="Heading 3" xfId="5" builtinId="18"/>
    <cellStyle name="Input" xfId="1" builtinId="20"/>
    <cellStyle name="Normal" xfId="0" builtinId="0"/>
    <cellStyle name="Note" xfId="8" builtinId="10"/>
    <cellStyle name="Output" xfId="6" builtinId="21"/>
    <cellStyle name="Title" xfId="2" builtinId="1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C0504D"/>
      <rgbColor rgb="FFF9F9F9"/>
      <rgbColor rgb="FFC6E0B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4472C4"/>
      <rgbColor rgb="FF33CCCC"/>
      <rgbColor rgb="FF99CC00"/>
      <rgbColor rgb="FFFFCC00"/>
      <rgbColor rgb="FFFF9900"/>
      <rgbColor rgb="FFFF6600"/>
      <rgbColor rgb="FF4F81BD"/>
      <rgbColor rgb="FF878787"/>
      <rgbColor rgb="FF1F4E5F"/>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1F4E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Arial Nova" panose="020F0502020204030204" pitchFamily="34" charset="0"/>
                <a:ea typeface="+mn-ea"/>
                <a:cs typeface="+mn-cs"/>
              </a:defRPr>
            </a:pPr>
            <a:r>
              <a:rPr lang="en-AU"/>
              <a:t>Seller Net</a:t>
            </a:r>
            <a:r>
              <a:rPr lang="en-AU" baseline="0"/>
              <a:t> Cash-Flow</a:t>
            </a:r>
            <a:r>
              <a:rPr lang="en-AU"/>
              <a:t> by Scenario</a:t>
            </a:r>
          </a:p>
        </c:rich>
      </c:tx>
      <c:overlay val="0"/>
      <c:spPr>
        <a:noFill/>
        <a:ln w="0">
          <a:noFill/>
        </a:ln>
        <a:effectLst/>
      </c:spPr>
      <c:txPr>
        <a:bodyPr rot="0" spcFirstLastPara="1" vertOverflow="ellipsis" vert="horz" wrap="square" anchor="ctr" anchorCtr="1"/>
        <a:lstStyle/>
        <a:p>
          <a:pPr>
            <a:defRPr sz="1800" b="1" i="0" u="none" strike="noStrike" kern="1200" baseline="0">
              <a:solidFill>
                <a:schemeClr val="tx1"/>
              </a:solidFill>
              <a:latin typeface="Arial Nova" panose="020F0502020204030204" pitchFamily="34" charset="0"/>
              <a:ea typeface="+mn-ea"/>
              <a:cs typeface="+mn-cs"/>
            </a:defRPr>
          </a:pPr>
          <a:endParaRPr lang="en-US"/>
        </a:p>
      </c:txPr>
    </c:title>
    <c:autoTitleDeleted val="0"/>
    <c:plotArea>
      <c:layout/>
      <c:barChart>
        <c:barDir val="col"/>
        <c:grouping val="clustered"/>
        <c:varyColors val="0"/>
        <c:ser>
          <c:idx val="4"/>
          <c:order val="0"/>
          <c:tx>
            <c:v>Merchant</c:v>
          </c:tx>
          <c:spPr>
            <a:solidFill>
              <a:schemeClr val="accent5"/>
            </a:solidFill>
            <a:ln>
              <a:noFill/>
            </a:ln>
            <a:effectLst/>
          </c:spPr>
          <c:invertIfNegative val="0"/>
          <c:val>
            <c:numRef>
              <c:f>'Ilustrative Comparison Tool'!$D$71:$O$71</c:f>
              <c:numCache>
                <c:formatCode>\$#,##0;"($"#,##0\);\-</c:formatCode>
                <c:ptCount val="12"/>
                <c:pt idx="0">
                  <c:v>8409600</c:v>
                </c:pt>
                <c:pt idx="1">
                  <c:v>12614400</c:v>
                </c:pt>
                <c:pt idx="2">
                  <c:v>8409600</c:v>
                </c:pt>
                <c:pt idx="3">
                  <c:v>12614400</c:v>
                </c:pt>
                <c:pt idx="4">
                  <c:v>3679200</c:v>
                </c:pt>
                <c:pt idx="5" formatCode="#,##0;\(#,##0\);\-">
                  <c:v>7884000</c:v>
                </c:pt>
                <c:pt idx="6">
                  <c:v>7568640</c:v>
                </c:pt>
                <c:pt idx="7">
                  <c:v>9565919.9999999981</c:v>
                </c:pt>
                <c:pt idx="8">
                  <c:v>11037600</c:v>
                </c:pt>
                <c:pt idx="9">
                  <c:v>8830079.9999999981</c:v>
                </c:pt>
                <c:pt idx="10">
                  <c:v>12614400</c:v>
                </c:pt>
                <c:pt idx="11">
                  <c:v>0</c:v>
                </c:pt>
              </c:numCache>
            </c:numRef>
          </c:val>
          <c:extLst>
            <c:ext xmlns:c16="http://schemas.microsoft.com/office/drawing/2014/chart" uri="{C3380CC4-5D6E-409C-BE32-E72D297353CC}">
              <c16:uniqueId val="{00000000-0726-4D5E-9649-0AF88933BBFE}"/>
            </c:ext>
          </c:extLst>
        </c:ser>
        <c:ser>
          <c:idx val="3"/>
          <c:order val="1"/>
          <c:tx>
            <c:strRef>
              <c:f>'Ilustrative Comparison Tool'!$B$74</c:f>
              <c:strCache>
                <c:ptCount val="1"/>
                <c:pt idx="0">
                  <c:v>PPA</c:v>
                </c:pt>
              </c:strCache>
            </c:strRef>
          </c:tx>
          <c:spPr>
            <a:solidFill>
              <a:schemeClr val="accent4"/>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Tool'!$D$79:$O$79</c:f>
              <c:numCache>
                <c:formatCode>\$#,##0;"($"#,##0\);\-</c:formatCode>
                <c:ptCount val="12"/>
                <c:pt idx="0">
                  <c:v>10512000</c:v>
                </c:pt>
                <c:pt idx="1">
                  <c:v>10512000</c:v>
                </c:pt>
                <c:pt idx="2">
                  <c:v>8409600</c:v>
                </c:pt>
                <c:pt idx="3">
                  <c:v>12614400</c:v>
                </c:pt>
                <c:pt idx="4">
                  <c:v>5256000</c:v>
                </c:pt>
                <c:pt idx="5">
                  <c:v>6307200</c:v>
                </c:pt>
                <c:pt idx="6">
                  <c:v>6307200</c:v>
                </c:pt>
                <c:pt idx="7">
                  <c:v>7358399.9999999981</c:v>
                </c:pt>
                <c:pt idx="8">
                  <c:v>15768000</c:v>
                </c:pt>
                <c:pt idx="9">
                  <c:v>14716799.999999996</c:v>
                </c:pt>
                <c:pt idx="10">
                  <c:v>16819200</c:v>
                </c:pt>
                <c:pt idx="11">
                  <c:v>0</c:v>
                </c:pt>
              </c:numCache>
            </c:numRef>
          </c:val>
          <c:extLst>
            <c:ext xmlns:c16="http://schemas.microsoft.com/office/drawing/2014/chart" uri="{C3380CC4-5D6E-409C-BE32-E72D297353CC}">
              <c16:uniqueId val="{00000003-EB85-43D4-87A6-241DA4BCA283}"/>
            </c:ext>
          </c:extLst>
        </c:ser>
        <c:ser>
          <c:idx val="0"/>
          <c:order val="2"/>
          <c:tx>
            <c:v>DWA Swap</c:v>
          </c:tx>
          <c:spPr>
            <a:solidFill>
              <a:schemeClr val="accent1"/>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Tool'!$D$86:$O$86</c:f>
              <c:numCache>
                <c:formatCode>\$#,##0;"($"#,##0\);\-</c:formatCode>
                <c:ptCount val="12"/>
                <c:pt idx="0">
                  <c:v>8409600</c:v>
                </c:pt>
                <c:pt idx="1">
                  <c:v>12614400</c:v>
                </c:pt>
                <c:pt idx="2">
                  <c:v>8409600</c:v>
                </c:pt>
                <c:pt idx="3">
                  <c:v>12614400</c:v>
                </c:pt>
                <c:pt idx="4">
                  <c:v>3679200</c:v>
                </c:pt>
                <c:pt idx="5">
                  <c:v>5256000</c:v>
                </c:pt>
                <c:pt idx="6">
                  <c:v>4415040</c:v>
                </c:pt>
                <c:pt idx="7">
                  <c:v>7463519.9999999981</c:v>
                </c:pt>
                <c:pt idx="8">
                  <c:v>14191200</c:v>
                </c:pt>
                <c:pt idx="9">
                  <c:v>11983679.999999998</c:v>
                </c:pt>
                <c:pt idx="10">
                  <c:v>15768000</c:v>
                </c:pt>
                <c:pt idx="11">
                  <c:v>0</c:v>
                </c:pt>
              </c:numCache>
            </c:numRef>
          </c:val>
          <c:extLst>
            <c:ext xmlns:c16="http://schemas.microsoft.com/office/drawing/2014/chart" uri="{C3380CC4-5D6E-409C-BE32-E72D297353CC}">
              <c16:uniqueId val="{00000000-69B5-4A1D-A077-6BAD8D7140B7}"/>
            </c:ext>
          </c:extLst>
        </c:ser>
        <c:ser>
          <c:idx val="1"/>
          <c:order val="3"/>
          <c:tx>
            <c:v>Revenue Swap</c:v>
          </c:tx>
          <c:spPr>
            <a:solidFill>
              <a:schemeClr val="accent2"/>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Tool'!$D$93:$O$93</c:f>
              <c:numCache>
                <c:formatCode>\$#,##0;"($"#,##0\);\-</c:formatCode>
                <c:ptCount val="12"/>
                <c:pt idx="0">
                  <c:v>8409600</c:v>
                </c:pt>
                <c:pt idx="1">
                  <c:v>12614400</c:v>
                </c:pt>
                <c:pt idx="2">
                  <c:v>8409600</c:v>
                </c:pt>
                <c:pt idx="3">
                  <c:v>12614400</c:v>
                </c:pt>
                <c:pt idx="4">
                  <c:v>3679200</c:v>
                </c:pt>
                <c:pt idx="5">
                  <c:v>10512000</c:v>
                </c:pt>
                <c:pt idx="6">
                  <c:v>8514720</c:v>
                </c:pt>
                <c:pt idx="7">
                  <c:v>12509279.999999998</c:v>
                </c:pt>
                <c:pt idx="8">
                  <c:v>10512000</c:v>
                </c:pt>
                <c:pt idx="9">
                  <c:v>8304479.9999999981</c:v>
                </c:pt>
                <c:pt idx="10">
                  <c:v>12088800</c:v>
                </c:pt>
                <c:pt idx="11">
                  <c:v>0</c:v>
                </c:pt>
              </c:numCache>
            </c:numRef>
          </c:val>
          <c:extLst>
            <c:ext xmlns:c16="http://schemas.microsoft.com/office/drawing/2014/chart" uri="{C3380CC4-5D6E-409C-BE32-E72D297353CC}">
              <c16:uniqueId val="{00000001-69B5-4A1D-A077-6BAD8D7140B7}"/>
            </c:ext>
          </c:extLst>
        </c:ser>
        <c:ser>
          <c:idx val="2"/>
          <c:order val="4"/>
          <c:tx>
            <c:v>Reference PPA</c:v>
          </c:tx>
          <c:spPr>
            <a:solidFill>
              <a:schemeClr val="accent3"/>
            </a:solidFill>
            <a:ln>
              <a:noFill/>
            </a:ln>
            <a:effectLst/>
          </c:spPr>
          <c:invertIfNegative val="0"/>
          <c:cat>
            <c:strRef>
              <c:f>'Ilustrative Comparison Tool'!$D$58:$O$58</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Tool'!$D$100:$O$100</c:f>
              <c:numCache>
                <c:formatCode>\$#,##0;"($"#,##0\);\-</c:formatCode>
                <c:ptCount val="12"/>
                <c:pt idx="0">
                  <c:v>8409600</c:v>
                </c:pt>
                <c:pt idx="1">
                  <c:v>12614400</c:v>
                </c:pt>
                <c:pt idx="2">
                  <c:v>8409600</c:v>
                </c:pt>
                <c:pt idx="3">
                  <c:v>12614400</c:v>
                </c:pt>
                <c:pt idx="4">
                  <c:v>3679200</c:v>
                </c:pt>
                <c:pt idx="5">
                  <c:v>6307200</c:v>
                </c:pt>
                <c:pt idx="6">
                  <c:v>5361120</c:v>
                </c:pt>
                <c:pt idx="7">
                  <c:v>8304479.9999999981</c:v>
                </c:pt>
                <c:pt idx="8">
                  <c:v>15768000</c:v>
                </c:pt>
                <c:pt idx="9">
                  <c:v>13560479.999999998</c:v>
                </c:pt>
                <c:pt idx="10">
                  <c:v>17344800</c:v>
                </c:pt>
                <c:pt idx="11">
                  <c:v>0</c:v>
                </c:pt>
              </c:numCache>
            </c:numRef>
          </c:val>
          <c:extLst>
            <c:ext xmlns:c16="http://schemas.microsoft.com/office/drawing/2014/chart" uri="{C3380CC4-5D6E-409C-BE32-E72D297353CC}">
              <c16:uniqueId val="{00000001-EB85-43D4-87A6-241DA4BCA283}"/>
            </c:ext>
          </c:extLst>
        </c:ser>
        <c:dLbls>
          <c:showLegendKey val="0"/>
          <c:showVal val="0"/>
          <c:showCatName val="0"/>
          <c:showSerName val="0"/>
          <c:showPercent val="0"/>
          <c:showBubbleSize val="0"/>
        </c:dLbls>
        <c:gapWidth val="150"/>
        <c:axId val="33068558"/>
        <c:axId val="13601844"/>
      </c:barChart>
      <c:catAx>
        <c:axId val="33068558"/>
        <c:scaling>
          <c:orientation val="minMax"/>
        </c:scaling>
        <c:delete val="0"/>
        <c:axPos val="b"/>
        <c:numFmt formatCode="General" sourceLinked="1"/>
        <c:majorTickMark val="none"/>
        <c:minorTickMark val="none"/>
        <c:tickLblPos val="low"/>
        <c:spPr>
          <a:noFill/>
          <a:ln w="9360" cap="flat" cmpd="sng" algn="ctr">
            <a:solidFill>
              <a:srgbClr val="878787"/>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F0502020204030204" pitchFamily="34" charset="0"/>
                <a:ea typeface="+mn-ea"/>
                <a:cs typeface="+mn-cs"/>
              </a:defRPr>
            </a:pPr>
            <a:endParaRPr lang="en-US"/>
          </a:p>
        </c:txPr>
        <c:crossAx val="13601844"/>
        <c:crosses val="autoZero"/>
        <c:auto val="1"/>
        <c:lblAlgn val="ctr"/>
        <c:lblOffset val="100"/>
        <c:noMultiLvlLbl val="0"/>
      </c:catAx>
      <c:valAx>
        <c:axId val="13601844"/>
        <c:scaling>
          <c:orientation val="minMax"/>
        </c:scaling>
        <c:delete val="0"/>
        <c:axPos val="l"/>
        <c:majorGridlines>
          <c:spPr>
            <a:ln w="9360" cap="flat" cmpd="sng" algn="ctr">
              <a:solidFill>
                <a:srgbClr val="878787"/>
              </a:solidFill>
              <a:prstDash val="solid"/>
              <a:round/>
            </a:ln>
            <a:effectLst/>
          </c:spPr>
        </c:majorGridlines>
        <c:numFmt formatCode="\$#,##0;&quot;($&quot;#,##0\);\-" sourceLinked="1"/>
        <c:majorTickMark val="none"/>
        <c:minorTickMark val="none"/>
        <c:tickLblPos val="nextTo"/>
        <c:spPr>
          <a:noFill/>
          <a:ln w="9360" cap="flat" cmpd="sng" algn="ctr">
            <a:solidFill>
              <a:srgbClr val="878787"/>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Nova" panose="020F0502020204030204" pitchFamily="34" charset="0"/>
                <a:ea typeface="+mn-ea"/>
                <a:cs typeface="+mn-cs"/>
              </a:defRPr>
            </a:pPr>
            <a:endParaRPr lang="en-US"/>
          </a:p>
        </c:txPr>
        <c:crossAx val="33068558"/>
        <c:crosses val="autoZero"/>
        <c:crossBetween val="between"/>
      </c:valAx>
      <c:spPr>
        <a:noFill/>
        <a:ln w="0">
          <a:noFill/>
        </a:ln>
        <a:effectLst/>
      </c:spPr>
    </c:plotArea>
    <c:legend>
      <c:legendPos val="r"/>
      <c:overlay val="0"/>
      <c:spPr>
        <a:noFill/>
        <a:ln w="0">
          <a:noFill/>
        </a:ln>
        <a:effectLst/>
      </c:spPr>
      <c:txPr>
        <a:bodyPr rot="0" spcFirstLastPara="1" vertOverflow="ellipsis" vert="horz" wrap="square" anchor="ctr" anchorCtr="1"/>
        <a:lstStyle/>
        <a:p>
          <a:pPr>
            <a:defRPr sz="1100" b="0" i="0" u="none" strike="noStrike" kern="1200" baseline="0">
              <a:solidFill>
                <a:schemeClr val="tx1"/>
              </a:solidFill>
              <a:latin typeface="Arial Nova" panose="020F0502020204030204" pitchFamily="34" charset="0"/>
              <a:ea typeface="+mn-ea"/>
              <a:cs typeface="+mn-cs"/>
            </a:defRPr>
          </a:pPr>
          <a:endParaRPr lang="en-US"/>
        </a:p>
      </c:txPr>
    </c:legend>
    <c:plotVisOnly val="1"/>
    <c:dispBlanksAs val="gap"/>
    <c:showDLblsOverMax val="1"/>
  </c:chart>
  <c:spPr>
    <a:solidFill>
      <a:srgbClr val="FFFFFF"/>
    </a:solidFill>
    <a:ln w="9360" cap="flat" cmpd="sng" algn="ctr">
      <a:solidFill>
        <a:schemeClr val="tx1"/>
      </a:solidFill>
      <a:prstDash val="solid"/>
      <a:round/>
    </a:ln>
    <a:effectLst/>
  </c:spPr>
  <c:txPr>
    <a:bodyPr/>
    <a:lstStyle/>
    <a:p>
      <a:pPr>
        <a:defRPr>
          <a:latin typeface="Arial Nova" panose="020F0502020204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Arial Nova" panose="020F0502020204030204"/>
                <a:ea typeface="+mn-ea"/>
                <a:cs typeface="+mn-cs"/>
              </a:defRPr>
            </a:pPr>
            <a:r>
              <a:rPr lang="en-AU" sz="1800" b="1" i="0" u="none" strike="noStrike" kern="1200" baseline="0">
                <a:solidFill>
                  <a:srgbClr val="000000"/>
                </a:solidFill>
                <a:latin typeface="Arial Nova" panose="020F0502020204030204" pitchFamily="34" charset="0"/>
              </a:rPr>
              <a:t>Buyer Net Cash-Flows by Scenario</a:t>
            </a:r>
          </a:p>
        </c:rich>
      </c:tx>
      <c:layout>
        <c:manualLayout>
          <c:xMode val="edge"/>
          <c:yMode val="edge"/>
          <c:x val="0.36608714975404266"/>
          <c:y val="1.6703749575281958E-2"/>
        </c:manualLayout>
      </c:layout>
      <c:overlay val="0"/>
      <c:spPr>
        <a:noFill/>
        <a:ln w="0">
          <a:noFill/>
        </a:ln>
        <a:effectLst/>
      </c:spPr>
      <c:txPr>
        <a:bodyPr rot="0" spcFirstLastPara="1" vertOverflow="ellipsis" vert="horz" wrap="square" anchor="ctr" anchorCtr="1"/>
        <a:lstStyle/>
        <a:p>
          <a:pPr>
            <a:defRPr sz="1800" b="1" i="0" u="none" strike="noStrike" kern="1200" baseline="0">
              <a:solidFill>
                <a:schemeClr val="tx1"/>
              </a:solidFill>
              <a:latin typeface="Arial Nova" panose="020F0502020204030204"/>
              <a:ea typeface="+mn-ea"/>
              <a:cs typeface="+mn-cs"/>
            </a:defRPr>
          </a:pPr>
          <a:endParaRPr lang="en-US"/>
        </a:p>
      </c:txPr>
    </c:title>
    <c:autoTitleDeleted val="0"/>
    <c:plotArea>
      <c:layout/>
      <c:barChart>
        <c:barDir val="col"/>
        <c:grouping val="clustered"/>
        <c:varyColors val="0"/>
        <c:ser>
          <c:idx val="3"/>
          <c:order val="0"/>
          <c:tx>
            <c:v>Merchant</c:v>
          </c:tx>
          <c:spPr>
            <a:solidFill>
              <a:schemeClr val="accent5"/>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Tool'!$D$111:$O$111</c:f>
              <c:numCache>
                <c:formatCode>\$#,##0;"($"#,##0\);\-</c:formatCode>
                <c:ptCount val="12"/>
                <c:pt idx="0">
                  <c:v>-10512000</c:v>
                </c:pt>
                <c:pt idx="1">
                  <c:v>-10512000</c:v>
                </c:pt>
                <c:pt idx="2">
                  <c:v>-10512000</c:v>
                </c:pt>
                <c:pt idx="3">
                  <c:v>-10512000</c:v>
                </c:pt>
                <c:pt idx="4">
                  <c:v>-10512000</c:v>
                </c:pt>
                <c:pt idx="5">
                  <c:v>-13140000</c:v>
                </c:pt>
                <c:pt idx="6">
                  <c:v>-13665600</c:v>
                </c:pt>
                <c:pt idx="7">
                  <c:v>-12614400</c:v>
                </c:pt>
                <c:pt idx="8">
                  <c:v>-7358400</c:v>
                </c:pt>
                <c:pt idx="9">
                  <c:v>-7358400</c:v>
                </c:pt>
                <c:pt idx="10">
                  <c:v>-7358400</c:v>
                </c:pt>
                <c:pt idx="11">
                  <c:v>0</c:v>
                </c:pt>
              </c:numCache>
            </c:numRef>
          </c:val>
          <c:extLst>
            <c:ext xmlns:c16="http://schemas.microsoft.com/office/drawing/2014/chart" uri="{C3380CC4-5D6E-409C-BE32-E72D297353CC}">
              <c16:uniqueId val="{00000000-184D-4C8B-A26B-900EFAF4D78B}"/>
            </c:ext>
          </c:extLst>
        </c:ser>
        <c:ser>
          <c:idx val="4"/>
          <c:order val="1"/>
          <c:tx>
            <c:v>PPA</c:v>
          </c:tx>
          <c:spPr>
            <a:solidFill>
              <a:schemeClr val="accent4"/>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Tool'!$D$119:$O$119</c:f>
              <c:numCache>
                <c:formatCode>\$#,##0;"($"#,##0\);\-</c:formatCode>
                <c:ptCount val="12"/>
                <c:pt idx="0">
                  <c:v>-12614400</c:v>
                </c:pt>
                <c:pt idx="1">
                  <c:v>-8409600</c:v>
                </c:pt>
                <c:pt idx="2">
                  <c:v>-10512000</c:v>
                </c:pt>
                <c:pt idx="3">
                  <c:v>-10512000</c:v>
                </c:pt>
                <c:pt idx="4">
                  <c:v>-12088800</c:v>
                </c:pt>
                <c:pt idx="5">
                  <c:v>-11563200</c:v>
                </c:pt>
                <c:pt idx="6">
                  <c:v>-12404160</c:v>
                </c:pt>
                <c:pt idx="7">
                  <c:v>-10406880</c:v>
                </c:pt>
                <c:pt idx="8">
                  <c:v>-12088800</c:v>
                </c:pt>
                <c:pt idx="9">
                  <c:v>-13245120</c:v>
                </c:pt>
                <c:pt idx="10">
                  <c:v>-11563200</c:v>
                </c:pt>
                <c:pt idx="11">
                  <c:v>0</c:v>
                </c:pt>
              </c:numCache>
            </c:numRef>
          </c:val>
          <c:extLst>
            <c:ext xmlns:c16="http://schemas.microsoft.com/office/drawing/2014/chart" uri="{C3380CC4-5D6E-409C-BE32-E72D297353CC}">
              <c16:uniqueId val="{00000000-9E06-4B4A-A41A-6924B688ECD3}"/>
            </c:ext>
          </c:extLst>
        </c:ser>
        <c:ser>
          <c:idx val="0"/>
          <c:order val="2"/>
          <c:tx>
            <c:v>DWA Swap</c:v>
          </c:tx>
          <c:spPr>
            <a:solidFill>
              <a:schemeClr val="accent1"/>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Tool'!$D$126:$O$126</c:f>
              <c:numCache>
                <c:formatCode>\$#,##0;"($"#,##0\);\-</c:formatCode>
                <c:ptCount val="12"/>
                <c:pt idx="0">
                  <c:v>-10512000</c:v>
                </c:pt>
                <c:pt idx="1">
                  <c:v>-10512000</c:v>
                </c:pt>
                <c:pt idx="2">
                  <c:v>-10512000</c:v>
                </c:pt>
                <c:pt idx="3">
                  <c:v>-10512000</c:v>
                </c:pt>
                <c:pt idx="4">
                  <c:v>-10512000</c:v>
                </c:pt>
                <c:pt idx="5">
                  <c:v>-10512000</c:v>
                </c:pt>
                <c:pt idx="6">
                  <c:v>-10512000</c:v>
                </c:pt>
                <c:pt idx="7">
                  <c:v>-10512000</c:v>
                </c:pt>
                <c:pt idx="8">
                  <c:v>-10512000</c:v>
                </c:pt>
                <c:pt idx="9">
                  <c:v>-10512000</c:v>
                </c:pt>
                <c:pt idx="10">
                  <c:v>-10512000</c:v>
                </c:pt>
                <c:pt idx="11">
                  <c:v>0</c:v>
                </c:pt>
              </c:numCache>
            </c:numRef>
          </c:val>
          <c:extLst>
            <c:ext xmlns:c16="http://schemas.microsoft.com/office/drawing/2014/chart" uri="{C3380CC4-5D6E-409C-BE32-E72D297353CC}">
              <c16:uniqueId val="{00000001-184D-4C8B-A26B-900EFAF4D78B}"/>
            </c:ext>
          </c:extLst>
        </c:ser>
        <c:ser>
          <c:idx val="1"/>
          <c:order val="3"/>
          <c:tx>
            <c:v>Revenue Swap</c:v>
          </c:tx>
          <c:spPr>
            <a:solidFill>
              <a:schemeClr val="accent2"/>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Tool'!$D$133:$O$133</c:f>
              <c:numCache>
                <c:formatCode>\$#,##0;"($"#,##0\);\-</c:formatCode>
                <c:ptCount val="12"/>
                <c:pt idx="0">
                  <c:v>-10512000</c:v>
                </c:pt>
                <c:pt idx="1">
                  <c:v>-10512000</c:v>
                </c:pt>
                <c:pt idx="2">
                  <c:v>-10512000</c:v>
                </c:pt>
                <c:pt idx="3">
                  <c:v>-10512000</c:v>
                </c:pt>
                <c:pt idx="4">
                  <c:v>-10512000</c:v>
                </c:pt>
                <c:pt idx="5">
                  <c:v>-15768000</c:v>
                </c:pt>
                <c:pt idx="6">
                  <c:v>-14611680</c:v>
                </c:pt>
                <c:pt idx="7">
                  <c:v>-15557760</c:v>
                </c:pt>
                <c:pt idx="8">
                  <c:v>-6832800</c:v>
                </c:pt>
                <c:pt idx="9">
                  <c:v>-6832800</c:v>
                </c:pt>
                <c:pt idx="10">
                  <c:v>-6832800</c:v>
                </c:pt>
                <c:pt idx="11">
                  <c:v>0</c:v>
                </c:pt>
              </c:numCache>
            </c:numRef>
          </c:val>
          <c:extLst>
            <c:ext xmlns:c16="http://schemas.microsoft.com/office/drawing/2014/chart" uri="{C3380CC4-5D6E-409C-BE32-E72D297353CC}">
              <c16:uniqueId val="{00000002-184D-4C8B-A26B-900EFAF4D78B}"/>
            </c:ext>
          </c:extLst>
        </c:ser>
        <c:ser>
          <c:idx val="2"/>
          <c:order val="4"/>
          <c:tx>
            <c:v>Reference PPA</c:v>
          </c:tx>
          <c:spPr>
            <a:solidFill>
              <a:schemeClr val="accent3"/>
            </a:solidFill>
            <a:ln>
              <a:noFill/>
            </a:ln>
            <a:effectLst/>
          </c:spPr>
          <c:invertIfNegative val="0"/>
          <c:cat>
            <c:strRef>
              <c:f>'Ilustrative Comparison Tool'!$D$104:$O$104</c:f>
              <c:strCache>
                <c:ptCount val="12"/>
                <c:pt idx="0">
                  <c:v>Scenario 1: Project DWAP &lt; Reference DWAP </c:v>
                </c:pt>
                <c:pt idx="1">
                  <c:v>Scenario 2: Project DWAP &gt; Reference DWAP</c:v>
                </c:pt>
                <c:pt idx="2">
                  <c:v>Scenario 3: Project Volume &lt; Reference Volume</c:v>
                </c:pt>
                <c:pt idx="3">
                  <c:v>Scenario 4: Project Volume &gt;  Reference Volume</c:v>
                </c:pt>
                <c:pt idx="4">
                  <c:v>Scenario 5: FM Event</c:v>
                </c:pt>
                <c:pt idx="5">
                  <c:v>Senario 6: VRE Drought</c:v>
                </c:pt>
                <c:pt idx="6">
                  <c:v>Scenario 7: VRE drought, project underperforms</c:v>
                </c:pt>
                <c:pt idx="7">
                  <c:v>Scenario 8: VRE drought, project overperforms</c:v>
                </c:pt>
                <c:pt idx="8">
                  <c:v>Scenario 9: VRE oversupply</c:v>
                </c:pt>
                <c:pt idx="9">
                  <c:v>Scenario 10: VRE oversupply, project underperforms</c:v>
                </c:pt>
                <c:pt idx="10">
                  <c:v>Scenario 11: VRE oversupply, project overperforms</c:v>
                </c:pt>
                <c:pt idx="11">
                  <c:v>Scenario 12: Blank</c:v>
                </c:pt>
              </c:strCache>
            </c:strRef>
          </c:cat>
          <c:val>
            <c:numRef>
              <c:f>'Ilustrative Comparison Tool'!$D$140:$O$140</c:f>
              <c:numCache>
                <c:formatCode>\$#,##0;"($"#,##0\);\-</c:formatCode>
                <c:ptCount val="12"/>
                <c:pt idx="0">
                  <c:v>-10512000</c:v>
                </c:pt>
                <c:pt idx="1">
                  <c:v>-10512000</c:v>
                </c:pt>
                <c:pt idx="2">
                  <c:v>-10512000</c:v>
                </c:pt>
                <c:pt idx="3">
                  <c:v>-10512000</c:v>
                </c:pt>
                <c:pt idx="4">
                  <c:v>-10512000</c:v>
                </c:pt>
                <c:pt idx="5">
                  <c:v>-11563200</c:v>
                </c:pt>
                <c:pt idx="6">
                  <c:v>-11458080</c:v>
                </c:pt>
                <c:pt idx="7">
                  <c:v>-11352960</c:v>
                </c:pt>
                <c:pt idx="8">
                  <c:v>-12088800</c:v>
                </c:pt>
                <c:pt idx="9">
                  <c:v>-12088800</c:v>
                </c:pt>
                <c:pt idx="10">
                  <c:v>-12088800</c:v>
                </c:pt>
                <c:pt idx="11">
                  <c:v>0</c:v>
                </c:pt>
              </c:numCache>
            </c:numRef>
          </c:val>
          <c:extLst>
            <c:ext xmlns:c16="http://schemas.microsoft.com/office/drawing/2014/chart" uri="{C3380CC4-5D6E-409C-BE32-E72D297353CC}">
              <c16:uniqueId val="{00000003-184D-4C8B-A26B-900EFAF4D78B}"/>
            </c:ext>
          </c:extLst>
        </c:ser>
        <c:dLbls>
          <c:showLegendKey val="0"/>
          <c:showVal val="0"/>
          <c:showCatName val="0"/>
          <c:showSerName val="0"/>
          <c:showPercent val="0"/>
          <c:showBubbleSize val="0"/>
        </c:dLbls>
        <c:gapWidth val="150"/>
        <c:axId val="33068558"/>
        <c:axId val="13601844"/>
      </c:barChart>
      <c:catAx>
        <c:axId val="33068558"/>
        <c:scaling>
          <c:orientation val="minMax"/>
        </c:scaling>
        <c:delete val="0"/>
        <c:axPos val="b"/>
        <c:numFmt formatCode="General" sourceLinked="1"/>
        <c:majorTickMark val="none"/>
        <c:minorTickMark val="none"/>
        <c:tickLblPos val="low"/>
        <c:spPr>
          <a:noFill/>
          <a:ln w="9360" cap="flat" cmpd="sng" algn="ctr">
            <a:solidFill>
              <a:srgbClr val="878787"/>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Arial Nova" panose="020F0502020204030204"/>
                <a:ea typeface="+mn-ea"/>
                <a:cs typeface="+mn-cs"/>
              </a:defRPr>
            </a:pPr>
            <a:endParaRPr lang="en-US"/>
          </a:p>
        </c:txPr>
        <c:crossAx val="13601844"/>
        <c:crosses val="autoZero"/>
        <c:auto val="1"/>
        <c:lblAlgn val="ctr"/>
        <c:lblOffset val="100"/>
        <c:noMultiLvlLbl val="0"/>
      </c:catAx>
      <c:valAx>
        <c:axId val="13601844"/>
        <c:scaling>
          <c:orientation val="minMax"/>
        </c:scaling>
        <c:delete val="0"/>
        <c:axPos val="l"/>
        <c:majorGridlines>
          <c:spPr>
            <a:ln w="9360" cap="flat" cmpd="sng" algn="ctr">
              <a:solidFill>
                <a:srgbClr val="878787"/>
              </a:solidFill>
              <a:prstDash val="solid"/>
              <a:round/>
            </a:ln>
            <a:effectLst/>
          </c:spPr>
        </c:majorGridlines>
        <c:numFmt formatCode="\$#,##0;&quot;($&quot;#,##0\);\-" sourceLinked="1"/>
        <c:majorTickMark val="none"/>
        <c:minorTickMark val="none"/>
        <c:tickLblPos val="nextTo"/>
        <c:spPr>
          <a:noFill/>
          <a:ln w="9360" cap="flat" cmpd="sng" algn="ctr">
            <a:solidFill>
              <a:srgbClr val="878787"/>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Nova" panose="020F0502020204030204"/>
                <a:ea typeface="+mn-ea"/>
                <a:cs typeface="+mn-cs"/>
              </a:defRPr>
            </a:pPr>
            <a:endParaRPr lang="en-US"/>
          </a:p>
        </c:txPr>
        <c:crossAx val="33068558"/>
        <c:crosses val="autoZero"/>
        <c:crossBetween val="between"/>
        <c:majorUnit val="5000000"/>
      </c:valAx>
      <c:spPr>
        <a:noFill/>
        <a:ln w="0">
          <a:noFill/>
        </a:ln>
        <a:effectLst/>
      </c:spPr>
    </c:plotArea>
    <c:legend>
      <c:legendPos val="r"/>
      <c:overlay val="0"/>
      <c:spPr>
        <a:noFill/>
        <a:ln w="0">
          <a:noFill/>
        </a:ln>
        <a:effectLst/>
      </c:spPr>
      <c:txPr>
        <a:bodyPr rot="0" spcFirstLastPara="1" vertOverflow="ellipsis" vert="horz" wrap="square" anchor="ctr" anchorCtr="1"/>
        <a:lstStyle/>
        <a:p>
          <a:pPr>
            <a:defRPr sz="1100" b="0" i="0" u="none" strike="noStrike" kern="1200" baseline="0">
              <a:solidFill>
                <a:schemeClr val="tx1"/>
              </a:solidFill>
              <a:latin typeface="Arial Nova" panose="020F0502020204030204"/>
              <a:ea typeface="+mn-ea"/>
              <a:cs typeface="+mn-cs"/>
            </a:defRPr>
          </a:pPr>
          <a:endParaRPr lang="en-US"/>
        </a:p>
      </c:txPr>
    </c:legend>
    <c:plotVisOnly val="1"/>
    <c:dispBlanksAs val="gap"/>
    <c:showDLblsOverMax val="1"/>
  </c:chart>
  <c:spPr>
    <a:solidFill>
      <a:srgbClr val="FFFFFF"/>
    </a:solidFill>
    <a:ln w="9360" cap="flat" cmpd="sng" algn="ctr">
      <a:solidFill>
        <a:schemeClr val="tx1"/>
      </a:solidFill>
      <a:prstDash val="solid"/>
      <a:round/>
    </a:ln>
    <a:effectLst/>
  </c:spPr>
  <c:txPr>
    <a:bodyPr/>
    <a:lstStyle/>
    <a:p>
      <a:pPr>
        <a:defRPr>
          <a:latin typeface="Arial Nova" panose="020F050202020403020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558847</xdr:colOff>
      <xdr:row>7</xdr:row>
      <xdr:rowOff>129722</xdr:rowOff>
    </xdr:from>
    <xdr:to>
      <xdr:col>9</xdr:col>
      <xdr:colOff>463999</xdr:colOff>
      <xdr:row>20</xdr:row>
      <xdr:rowOff>124031</xdr:rowOff>
    </xdr:to>
    <xdr:sp macro="" textlink="">
      <xdr:nvSpPr>
        <xdr:cNvPr id="3" name="Rectangle: Rounded Corners 2">
          <a:extLst>
            <a:ext uri="{FF2B5EF4-FFF2-40B4-BE49-F238E27FC236}">
              <a16:creationId xmlns:a16="http://schemas.microsoft.com/office/drawing/2014/main" id="{87AB3B06-240A-40E3-ABE3-81D1C4EEA602}"/>
            </a:ext>
          </a:extLst>
        </xdr:cNvPr>
        <xdr:cNvSpPr/>
      </xdr:nvSpPr>
      <xdr:spPr>
        <a:xfrm>
          <a:off x="9259643" y="1918089"/>
          <a:ext cx="3870662" cy="2498023"/>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400" b="1">
              <a:solidFill>
                <a:srgbClr val="FF0000"/>
              </a:solidFill>
              <a:latin typeface="Arial Nova" panose="020F0502020204030204" pitchFamily="34" charset="0"/>
            </a:rPr>
            <a:t>This settlement comparison tool was used to support the</a:t>
          </a:r>
          <a:r>
            <a:rPr lang="en-AU" sz="1400" b="1" baseline="0">
              <a:solidFill>
                <a:srgbClr val="FF0000"/>
              </a:solidFill>
              <a:latin typeface="Arial Nova" panose="020F0502020204030204" pitchFamily="34" charset="0"/>
            </a:rPr>
            <a:t> Working Group in considering the different mechanics and risk allocations between the bulk energy contract structures under consideration, prior to Workshop 3. For final WG ositions, users should refer to the Draft Product Sheets published as an attachment to the minutes, which may in some cases vary to those used in this tool.</a:t>
          </a:r>
          <a:endParaRPr lang="en-AU" sz="1400" b="1">
            <a:solidFill>
              <a:srgbClr val="FF0000"/>
            </a:solidFill>
            <a:latin typeface="Arial Nova"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314757</xdr:colOff>
      <xdr:row>73</xdr:row>
      <xdr:rowOff>298136</xdr:rowOff>
    </xdr:from>
    <xdr:to>
      <xdr:col>39</xdr:col>
      <xdr:colOff>504391</xdr:colOff>
      <xdr:row>100</xdr:row>
      <xdr:rowOff>123826</xdr:rowOff>
    </xdr:to>
    <xdr:graphicFrame macro="">
      <xdr:nvGraphicFramePr>
        <xdr:cNvPr id="4" name="Chart 3">
          <a:extLst>
            <a:ext uri="{FF2B5EF4-FFF2-40B4-BE49-F238E27FC236}">
              <a16:creationId xmlns:a16="http://schemas.microsoft.com/office/drawing/2014/main" id="{EEB952B6-5335-4931-A4AE-EC16675D0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308882</xdr:colOff>
      <xdr:row>106</xdr:row>
      <xdr:rowOff>144854</xdr:rowOff>
    </xdr:from>
    <xdr:to>
      <xdr:col>39</xdr:col>
      <xdr:colOff>425450</xdr:colOff>
      <xdr:row>133</xdr:row>
      <xdr:rowOff>30795</xdr:rowOff>
    </xdr:to>
    <xdr:graphicFrame macro="">
      <xdr:nvGraphicFramePr>
        <xdr:cNvPr id="5" name="Chart 4">
          <a:extLst>
            <a:ext uri="{FF2B5EF4-FFF2-40B4-BE49-F238E27FC236}">
              <a16:creationId xmlns:a16="http://schemas.microsoft.com/office/drawing/2014/main" id="{348A9F70-3025-487E-B3CF-76BE6032A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1387929</xdr:colOff>
      <xdr:row>13</xdr:row>
      <xdr:rowOff>10431</xdr:rowOff>
    </xdr:from>
    <xdr:to>
      <xdr:col>5</xdr:col>
      <xdr:colOff>962933</xdr:colOff>
      <xdr:row>25</xdr:row>
      <xdr:rowOff>138544</xdr:rowOff>
    </xdr:to>
    <xdr:sp macro="" textlink="">
      <xdr:nvSpPr>
        <xdr:cNvPr id="3" name="Rectangle: Rounded Corners 2">
          <a:extLst>
            <a:ext uri="{FF2B5EF4-FFF2-40B4-BE49-F238E27FC236}">
              <a16:creationId xmlns:a16="http://schemas.microsoft.com/office/drawing/2014/main" id="{E21FB753-9008-49AA-A32D-BCCB78F38E31}"/>
            </a:ext>
          </a:extLst>
        </xdr:cNvPr>
        <xdr:cNvSpPr/>
      </xdr:nvSpPr>
      <xdr:spPr>
        <a:xfrm>
          <a:off x="7293429" y="2937204"/>
          <a:ext cx="3488913" cy="2414113"/>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400" b="1">
              <a:solidFill>
                <a:srgbClr val="FF0000"/>
              </a:solidFill>
              <a:latin typeface="Arial Nova" panose="020F0502020204030204" pitchFamily="34" charset="0"/>
            </a:rPr>
            <a:t>This settlement comparison tool was used to support the</a:t>
          </a:r>
          <a:r>
            <a:rPr lang="en-AU" sz="1400" b="1" baseline="0">
              <a:solidFill>
                <a:srgbClr val="FF0000"/>
              </a:solidFill>
              <a:latin typeface="Arial Nova" panose="020F0502020204030204" pitchFamily="34" charset="0"/>
            </a:rPr>
            <a:t> Working Group in considering the different mechanics and risk allocations between the bulk energy contract structures under consideration, prior to Workshop 3. Users should refer to the Draft Product Sheets, which may in some cases vary to those used in this tool.</a:t>
          </a:r>
          <a:endParaRPr lang="en-AU" sz="1400" b="1">
            <a:solidFill>
              <a:srgbClr val="FF0000"/>
            </a:solidFill>
            <a:latin typeface="Arial Nova"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38"/>
  <sheetViews>
    <sheetView showGridLines="0" zoomScale="70" zoomScaleNormal="70" workbookViewId="0">
      <selection activeCell="B14" sqref="B14"/>
    </sheetView>
  </sheetViews>
  <sheetFormatPr defaultColWidth="8.7265625" defaultRowHeight="14.5" x14ac:dyDescent="0.35"/>
  <cols>
    <col min="1" max="1" width="3" customWidth="1"/>
    <col min="2" max="6" width="30" customWidth="1"/>
  </cols>
  <sheetData>
    <row r="2" spans="2:7" ht="30" customHeight="1" thickBot="1" x14ac:dyDescent="0.4">
      <c r="B2" s="73" t="s">
        <v>97</v>
      </c>
      <c r="C2" s="73"/>
      <c r="D2" s="73"/>
      <c r="E2" s="73"/>
      <c r="F2" s="73"/>
      <c r="G2" s="73"/>
    </row>
    <row r="3" spans="2:7" ht="15" thickTop="1" x14ac:dyDescent="0.35"/>
    <row r="4" spans="2:7" x14ac:dyDescent="0.35">
      <c r="B4" s="2" t="s">
        <v>0</v>
      </c>
    </row>
    <row r="5" spans="2:7" ht="15" customHeight="1" x14ac:dyDescent="0.35">
      <c r="B5" s="67" t="s">
        <v>57</v>
      </c>
      <c r="C5" s="67"/>
      <c r="D5" s="67"/>
      <c r="E5" s="67"/>
      <c r="F5" s="67"/>
      <c r="G5" s="67"/>
    </row>
    <row r="6" spans="2:7" ht="36" customHeight="1" x14ac:dyDescent="0.35">
      <c r="B6" s="67"/>
      <c r="C6" s="67"/>
      <c r="D6" s="67"/>
      <c r="E6" s="67"/>
      <c r="F6" s="67"/>
      <c r="G6" s="67"/>
    </row>
    <row r="7" spans="2:7" x14ac:dyDescent="0.35">
      <c r="B7" s="1"/>
      <c r="C7" s="1"/>
      <c r="D7" s="1"/>
      <c r="E7" s="1"/>
      <c r="F7" s="1"/>
      <c r="G7" s="1"/>
    </row>
    <row r="8" spans="2:7" x14ac:dyDescent="0.35">
      <c r="B8" s="3" t="s">
        <v>1</v>
      </c>
      <c r="C8" s="1"/>
      <c r="D8" s="1"/>
      <c r="E8" s="1"/>
      <c r="F8" s="1"/>
      <c r="G8" s="1"/>
    </row>
    <row r="9" spans="2:7" ht="15" customHeight="1" x14ac:dyDescent="0.35">
      <c r="B9" s="72" t="s">
        <v>98</v>
      </c>
      <c r="C9" s="72"/>
      <c r="D9" s="72"/>
      <c r="E9" s="72"/>
      <c r="F9" s="72"/>
      <c r="G9" s="1"/>
    </row>
    <row r="10" spans="2:7" ht="15" customHeight="1" x14ac:dyDescent="0.35">
      <c r="B10" s="72" t="s">
        <v>99</v>
      </c>
      <c r="C10" s="72"/>
      <c r="D10" s="72"/>
      <c r="E10" s="72"/>
      <c r="F10" s="72"/>
      <c r="G10" s="1"/>
    </row>
    <row r="11" spans="2:7" ht="15" customHeight="1" x14ac:dyDescent="0.35">
      <c r="B11" s="72" t="s">
        <v>100</v>
      </c>
      <c r="C11" s="72"/>
      <c r="D11" s="72"/>
      <c r="E11" s="72"/>
      <c r="F11" s="72"/>
      <c r="G11" s="1"/>
    </row>
    <row r="12" spans="2:7" ht="15" customHeight="1" x14ac:dyDescent="0.35">
      <c r="B12" s="72" t="s">
        <v>101</v>
      </c>
      <c r="C12" s="72"/>
      <c r="D12" s="72"/>
      <c r="E12" s="72"/>
      <c r="F12" s="72"/>
      <c r="G12" s="1"/>
    </row>
    <row r="13" spans="2:7" ht="15" customHeight="1" x14ac:dyDescent="0.35">
      <c r="B13" s="72" t="s">
        <v>121</v>
      </c>
      <c r="C13" s="72"/>
      <c r="D13" s="72"/>
      <c r="E13" s="72"/>
      <c r="F13" s="72"/>
      <c r="G13" s="1"/>
    </row>
    <row r="14" spans="2:7" x14ac:dyDescent="0.35">
      <c r="B14" s="1"/>
      <c r="C14" s="1"/>
      <c r="D14" s="1"/>
      <c r="E14" s="1"/>
      <c r="F14" s="1"/>
      <c r="G14" s="1"/>
    </row>
    <row r="15" spans="2:7" x14ac:dyDescent="0.35">
      <c r="B15" s="3" t="s">
        <v>2</v>
      </c>
      <c r="C15" s="1"/>
      <c r="D15" s="1"/>
      <c r="E15" s="1"/>
      <c r="F15" s="1"/>
      <c r="G15" s="1"/>
    </row>
    <row r="16" spans="2:7" ht="15" customHeight="1" x14ac:dyDescent="0.35">
      <c r="B16" s="69" t="s">
        <v>3</v>
      </c>
      <c r="C16" s="69"/>
      <c r="D16" s="69"/>
      <c r="E16" s="69"/>
      <c r="F16" s="69"/>
      <c r="G16" s="1"/>
    </row>
    <row r="17" spans="2:7" ht="15" customHeight="1" x14ac:dyDescent="0.35">
      <c r="B17" s="69" t="s">
        <v>4</v>
      </c>
      <c r="C17" s="69"/>
      <c r="D17" s="69"/>
      <c r="E17" s="69"/>
      <c r="F17" s="69"/>
      <c r="G17" s="1"/>
    </row>
    <row r="18" spans="2:7" ht="15" customHeight="1" x14ac:dyDescent="0.35">
      <c r="B18" s="69" t="s">
        <v>5</v>
      </c>
      <c r="C18" s="69"/>
      <c r="D18" s="69"/>
      <c r="E18" s="69"/>
      <c r="F18" s="69"/>
      <c r="G18" s="1"/>
    </row>
    <row r="19" spans="2:7" ht="15" customHeight="1" x14ac:dyDescent="0.35">
      <c r="B19" s="69" t="s">
        <v>6</v>
      </c>
      <c r="C19" s="69"/>
      <c r="D19" s="69"/>
      <c r="E19" s="69"/>
      <c r="F19" s="69"/>
      <c r="G19" s="1"/>
    </row>
    <row r="20" spans="2:7" ht="15" customHeight="1" x14ac:dyDescent="0.35">
      <c r="B20" s="69" t="s">
        <v>7</v>
      </c>
      <c r="C20" s="69"/>
      <c r="D20" s="69"/>
      <c r="E20" s="69"/>
      <c r="F20" s="69"/>
      <c r="G20" s="1"/>
    </row>
    <row r="21" spans="2:7" ht="15" customHeight="1" x14ac:dyDescent="0.35">
      <c r="B21" s="71" t="s">
        <v>64</v>
      </c>
      <c r="C21" s="71"/>
      <c r="D21" s="71"/>
      <c r="E21" s="71"/>
      <c r="F21" s="71"/>
      <c r="G21" s="1"/>
    </row>
    <row r="22" spans="2:7" ht="15" customHeight="1" x14ac:dyDescent="0.35">
      <c r="B22" s="70" t="s">
        <v>103</v>
      </c>
      <c r="C22" s="69"/>
      <c r="D22" s="69"/>
      <c r="E22" s="69"/>
      <c r="F22" s="69"/>
      <c r="G22" s="1"/>
    </row>
    <row r="23" spans="2:7" x14ac:dyDescent="0.35">
      <c r="B23" s="1"/>
      <c r="C23" s="1"/>
      <c r="D23" s="1"/>
      <c r="E23" s="1"/>
      <c r="F23" s="1"/>
      <c r="G23" s="1"/>
    </row>
    <row r="24" spans="2:7" x14ac:dyDescent="0.35">
      <c r="B24" s="65" t="s">
        <v>59</v>
      </c>
      <c r="C24" s="66"/>
      <c r="D24" s="66"/>
      <c r="E24" s="66"/>
      <c r="F24" s="66"/>
      <c r="G24" s="66"/>
    </row>
    <row r="25" spans="2:7" x14ac:dyDescent="0.35">
      <c r="B25" s="66"/>
      <c r="C25" s="66"/>
      <c r="D25" s="66"/>
      <c r="E25" s="66"/>
      <c r="F25" s="66"/>
      <c r="G25" s="66"/>
    </row>
    <row r="26" spans="2:7" x14ac:dyDescent="0.35">
      <c r="B26" s="66"/>
      <c r="C26" s="66"/>
      <c r="D26" s="66"/>
      <c r="E26" s="66"/>
      <c r="F26" s="66"/>
      <c r="G26" s="66"/>
    </row>
    <row r="27" spans="2:7" x14ac:dyDescent="0.35">
      <c r="B27" s="66"/>
      <c r="C27" s="66"/>
      <c r="D27" s="66"/>
      <c r="E27" s="66"/>
      <c r="F27" s="66"/>
      <c r="G27" s="66"/>
    </row>
    <row r="28" spans="2:7" x14ac:dyDescent="0.35">
      <c r="B28" s="66"/>
      <c r="C28" s="66"/>
      <c r="D28" s="66"/>
      <c r="E28" s="66"/>
      <c r="F28" s="66"/>
      <c r="G28" s="66"/>
    </row>
    <row r="29" spans="2:7" x14ac:dyDescent="0.35">
      <c r="B29" s="66"/>
      <c r="C29" s="66"/>
      <c r="D29" s="66"/>
      <c r="E29" s="66"/>
      <c r="F29" s="66"/>
      <c r="G29" s="66"/>
    </row>
    <row r="30" spans="2:7" x14ac:dyDescent="0.35">
      <c r="B30" s="66"/>
      <c r="C30" s="66"/>
      <c r="D30" s="66"/>
      <c r="E30" s="66"/>
      <c r="F30" s="66"/>
      <c r="G30" s="66"/>
    </row>
    <row r="31" spans="2:7" x14ac:dyDescent="0.35">
      <c r="B31" s="66"/>
      <c r="C31" s="66"/>
      <c r="D31" s="66"/>
      <c r="E31" s="66"/>
      <c r="F31" s="66"/>
      <c r="G31" s="66"/>
    </row>
    <row r="32" spans="2:7" x14ac:dyDescent="0.35">
      <c r="B32" s="66"/>
      <c r="C32" s="66"/>
      <c r="D32" s="66"/>
      <c r="E32" s="66"/>
      <c r="F32" s="66"/>
      <c r="G32" s="66"/>
    </row>
    <row r="33" spans="2:7" ht="93" customHeight="1" x14ac:dyDescent="0.35">
      <c r="B33" s="66"/>
      <c r="C33" s="66"/>
      <c r="D33" s="66"/>
      <c r="E33" s="66"/>
      <c r="F33" s="66"/>
      <c r="G33" s="66"/>
    </row>
    <row r="34" spans="2:7" x14ac:dyDescent="0.35">
      <c r="B34" s="67" t="s">
        <v>58</v>
      </c>
      <c r="C34" s="68"/>
      <c r="D34" s="68"/>
      <c r="E34" s="68"/>
      <c r="F34" s="68"/>
      <c r="G34" s="1"/>
    </row>
    <row r="35" spans="2:7" x14ac:dyDescent="0.35">
      <c r="B35" s="68"/>
      <c r="C35" s="68"/>
      <c r="D35" s="68"/>
      <c r="E35" s="68"/>
      <c r="F35" s="68"/>
      <c r="G35" s="1"/>
    </row>
    <row r="36" spans="2:7" x14ac:dyDescent="0.35">
      <c r="B36" s="68"/>
      <c r="C36" s="68"/>
      <c r="D36" s="68"/>
      <c r="E36" s="68"/>
      <c r="F36" s="68"/>
      <c r="G36" s="1"/>
    </row>
    <row r="37" spans="2:7" x14ac:dyDescent="0.35">
      <c r="B37" s="68"/>
      <c r="C37" s="68"/>
      <c r="D37" s="68"/>
      <c r="E37" s="68"/>
      <c r="F37" s="68"/>
      <c r="G37" s="1"/>
    </row>
    <row r="38" spans="2:7" x14ac:dyDescent="0.35">
      <c r="B38" s="68"/>
      <c r="C38" s="68"/>
      <c r="D38" s="68"/>
      <c r="E38" s="68"/>
      <c r="F38" s="68"/>
      <c r="G38" s="1"/>
    </row>
  </sheetData>
  <mergeCells count="16">
    <mergeCell ref="B12:F12"/>
    <mergeCell ref="B13:F13"/>
    <mergeCell ref="B16:F16"/>
    <mergeCell ref="B2:G2"/>
    <mergeCell ref="B9:F9"/>
    <mergeCell ref="B10:F10"/>
    <mergeCell ref="B11:F11"/>
    <mergeCell ref="B5:G6"/>
    <mergeCell ref="B24:G33"/>
    <mergeCell ref="B34:F38"/>
    <mergeCell ref="B17:F17"/>
    <mergeCell ref="B18:F18"/>
    <mergeCell ref="B19:F19"/>
    <mergeCell ref="B20:F20"/>
    <mergeCell ref="B22:F22"/>
    <mergeCell ref="B21:F21"/>
  </mergeCells>
  <pageMargins left="0.75" right="0.75" top="1" bottom="1" header="0.511811023622047" footer="0.511811023622047"/>
  <pageSetup paperSize="9" orientation="portrait" horizontalDpi="300" verticalDpi="300"/>
  <headerFooter>
    <oddHeader>&amp;C&amp;"Aptos"&amp;12&amp;KFF0000 OFFICIAL&amp;1#_x000D_</oddHeader>
    <oddFooter>&amp;C_x000D_&amp;1#&amp;"Aptos"&amp;12&amp;KFF0000 OFFICIAL</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40"/>
  <sheetViews>
    <sheetView showGridLines="0" tabSelected="1" topLeftCell="A65" zoomScale="55" zoomScaleNormal="55" workbookViewId="0">
      <selection activeCell="D75" sqref="D75"/>
    </sheetView>
  </sheetViews>
  <sheetFormatPr defaultColWidth="8.7265625" defaultRowHeight="14.5" outlineLevelRow="1" outlineLevelCol="1" x14ac:dyDescent="0.35"/>
  <cols>
    <col min="1" max="1" width="4" style="1" customWidth="1"/>
    <col min="2" max="2" width="51.7265625" style="1" customWidth="1"/>
    <col min="3" max="3" width="29" style="1" customWidth="1"/>
    <col min="4" max="4" width="29.453125" style="1" customWidth="1" outlineLevel="1"/>
    <col min="5" max="5" width="26.81640625" style="1" customWidth="1" outlineLevel="1"/>
    <col min="6" max="6" width="24.26953125" style="1" customWidth="1" outlineLevel="1"/>
    <col min="7" max="7" width="23.453125" style="1" customWidth="1" outlineLevel="1"/>
    <col min="8" max="8" width="21" style="1" customWidth="1" outlineLevel="1"/>
    <col min="9" max="9" width="17.1796875" style="1" customWidth="1" outlineLevel="1"/>
    <col min="10" max="10" width="18.54296875" style="1" bestFit="1" customWidth="1" outlineLevel="1"/>
    <col min="11" max="11" width="18.26953125" style="1" customWidth="1" outlineLevel="1"/>
    <col min="12" max="12" width="25.81640625" style="1" customWidth="1" outlineLevel="1"/>
    <col min="13" max="13" width="19" style="1" customWidth="1" outlineLevel="1"/>
    <col min="14" max="14" width="18.54296875" style="1" customWidth="1" outlineLevel="1"/>
    <col min="15" max="16" width="19.26953125" style="1" customWidth="1" outlineLevel="1"/>
    <col min="17" max="17" width="12.26953125" style="1" customWidth="1"/>
    <col min="18" max="16384" width="8.7265625" style="1"/>
  </cols>
  <sheetData>
    <row r="2" spans="2:16" ht="35.15" customHeight="1" thickBot="1" x14ac:dyDescent="0.4">
      <c r="B2" s="55" t="s">
        <v>120</v>
      </c>
      <c r="C2" s="55"/>
      <c r="D2" s="55"/>
      <c r="E2" s="55"/>
      <c r="F2" s="55"/>
      <c r="G2" s="55"/>
      <c r="H2" s="55"/>
      <c r="I2" s="55"/>
      <c r="J2" s="55"/>
      <c r="K2" s="55"/>
      <c r="L2" s="55"/>
      <c r="M2" s="55"/>
      <c r="N2" s="55"/>
      <c r="O2" s="55"/>
      <c r="P2" s="55"/>
    </row>
    <row r="3" spans="2:16" ht="21.75" customHeight="1" thickTop="1" x14ac:dyDescent="0.35">
      <c r="B3" s="49"/>
      <c r="C3" s="49"/>
      <c r="D3" s="49"/>
      <c r="E3" s="49"/>
      <c r="F3" s="49"/>
      <c r="G3" s="49"/>
      <c r="H3" s="49"/>
      <c r="I3" s="49"/>
      <c r="J3" s="49"/>
      <c r="K3" s="49"/>
      <c r="L3" s="49"/>
      <c r="M3" s="49"/>
      <c r="N3" s="49"/>
      <c r="O3" s="49"/>
      <c r="P3" s="49"/>
    </row>
    <row r="4" spans="2:16" ht="17.5" thickBot="1" x14ac:dyDescent="0.4">
      <c r="B4" s="53" t="s">
        <v>8</v>
      </c>
      <c r="C4" s="53"/>
      <c r="D4" s="53"/>
      <c r="E4" s="53"/>
      <c r="F4" s="53"/>
      <c r="G4" s="53"/>
      <c r="H4" s="53"/>
      <c r="I4" s="53"/>
      <c r="J4" s="53"/>
      <c r="K4" s="53"/>
      <c r="L4" s="53"/>
      <c r="M4" s="53"/>
      <c r="N4" s="53"/>
      <c r="O4" s="53"/>
      <c r="P4" s="12"/>
    </row>
    <row r="5" spans="2:16" ht="21.75" customHeight="1" outlineLevel="1" thickTop="1" x14ac:dyDescent="0.35">
      <c r="B5" s="49"/>
      <c r="C5" s="49"/>
      <c r="D5" s="49"/>
      <c r="E5" s="49"/>
      <c r="F5" s="49"/>
      <c r="G5" s="49"/>
      <c r="H5" s="49"/>
      <c r="I5" s="49"/>
      <c r="J5" s="49"/>
      <c r="K5" s="49"/>
      <c r="L5" s="51"/>
      <c r="M5" s="49"/>
      <c r="N5" s="49"/>
      <c r="O5" s="49"/>
      <c r="P5" s="49"/>
    </row>
    <row r="6" spans="2:16" ht="15" customHeight="1" outlineLevel="1" x14ac:dyDescent="0.35">
      <c r="B6" s="56" t="s">
        <v>9</v>
      </c>
      <c r="C6" s="56"/>
      <c r="D6" s="56"/>
      <c r="E6" s="56"/>
      <c r="F6" s="49"/>
      <c r="G6" s="49"/>
      <c r="H6" s="49"/>
      <c r="I6" s="49"/>
      <c r="J6" s="49"/>
      <c r="K6" s="49"/>
      <c r="L6" s="49"/>
      <c r="M6" s="49"/>
      <c r="N6" s="49"/>
      <c r="O6" s="49"/>
      <c r="P6" s="49"/>
    </row>
    <row r="7" spans="2:16" ht="15" customHeight="1" outlineLevel="1" x14ac:dyDescent="0.35">
      <c r="B7" s="14" t="s">
        <v>10</v>
      </c>
      <c r="C7" s="50">
        <v>100</v>
      </c>
      <c r="D7" s="57" t="s">
        <v>102</v>
      </c>
      <c r="E7" s="58"/>
      <c r="F7" s="58"/>
      <c r="G7" s="59"/>
      <c r="I7" s="49"/>
      <c r="J7" s="49"/>
      <c r="K7" s="49"/>
      <c r="L7" s="49"/>
      <c r="M7" s="49"/>
      <c r="N7" s="49"/>
      <c r="O7" s="49"/>
      <c r="P7" s="49"/>
    </row>
    <row r="8" spans="2:16" ht="15" customHeight="1" outlineLevel="1" x14ac:dyDescent="0.35">
      <c r="B8" s="14" t="s">
        <v>11</v>
      </c>
      <c r="C8" s="6">
        <v>0.4</v>
      </c>
      <c r="D8" s="60"/>
      <c r="E8" s="61"/>
      <c r="F8" s="61"/>
      <c r="G8" s="62"/>
      <c r="I8" s="49"/>
      <c r="J8" s="49"/>
      <c r="K8" s="49"/>
      <c r="L8" s="49"/>
      <c r="M8" s="49"/>
      <c r="N8" s="49"/>
      <c r="O8" s="49"/>
      <c r="P8" s="49"/>
    </row>
    <row r="9" spans="2:16" ht="15" customHeight="1" outlineLevel="1" x14ac:dyDescent="0.35">
      <c r="B9" s="14" t="s">
        <v>12</v>
      </c>
      <c r="C9" s="7">
        <f>C7*C8*C21</f>
        <v>87600</v>
      </c>
      <c r="F9" s="49"/>
      <c r="G9" s="49"/>
      <c r="H9" s="49"/>
      <c r="I9" s="49"/>
      <c r="J9" s="49"/>
      <c r="K9" s="49"/>
      <c r="L9" s="49"/>
      <c r="M9" s="49"/>
      <c r="N9" s="49"/>
      <c r="O9" s="49"/>
      <c r="P9" s="49"/>
    </row>
    <row r="10" spans="2:16" ht="15" customHeight="1" outlineLevel="1" x14ac:dyDescent="0.35">
      <c r="B10" s="14" t="s">
        <v>13</v>
      </c>
      <c r="C10" s="5">
        <v>120</v>
      </c>
      <c r="F10" s="49"/>
      <c r="G10" s="49"/>
      <c r="H10" s="49"/>
      <c r="I10" s="49"/>
      <c r="J10" s="49"/>
      <c r="K10" s="49"/>
      <c r="L10" s="49"/>
      <c r="M10" s="49"/>
      <c r="N10" s="49"/>
      <c r="O10" s="49"/>
      <c r="P10" s="49"/>
    </row>
    <row r="11" spans="2:16" ht="15" customHeight="1" outlineLevel="1" x14ac:dyDescent="0.35">
      <c r="B11" s="14" t="s">
        <v>14</v>
      </c>
      <c r="C11" s="5">
        <f>C9/C7</f>
        <v>876</v>
      </c>
      <c r="F11" s="49"/>
      <c r="G11" s="49"/>
      <c r="H11" s="49"/>
      <c r="I11" s="49"/>
      <c r="J11" s="49"/>
      <c r="K11" s="49"/>
      <c r="L11" s="49"/>
      <c r="M11" s="49"/>
      <c r="N11" s="49"/>
      <c r="O11" s="49"/>
      <c r="P11" s="49"/>
    </row>
    <row r="12" spans="2:16" ht="15" customHeight="1" outlineLevel="1" x14ac:dyDescent="0.35">
      <c r="F12" s="49"/>
      <c r="G12" s="49"/>
      <c r="H12" s="49"/>
      <c r="I12" s="49"/>
      <c r="J12" s="49"/>
      <c r="K12" s="49"/>
      <c r="L12" s="49"/>
      <c r="M12" s="49"/>
      <c r="N12" s="49"/>
      <c r="O12" s="49"/>
      <c r="P12" s="49"/>
    </row>
    <row r="13" spans="2:16" ht="15" customHeight="1" outlineLevel="1" x14ac:dyDescent="0.35">
      <c r="B13" s="56" t="s">
        <v>15</v>
      </c>
      <c r="C13" s="56"/>
      <c r="D13" s="56"/>
      <c r="E13" s="56"/>
      <c r="F13" s="49"/>
      <c r="G13" s="49"/>
      <c r="H13" s="49"/>
      <c r="I13" s="49"/>
      <c r="J13" s="49"/>
      <c r="K13" s="49"/>
      <c r="L13" s="49"/>
      <c r="M13" s="49"/>
      <c r="N13" s="49"/>
      <c r="O13" s="49"/>
      <c r="P13" s="49"/>
    </row>
    <row r="14" spans="2:16" ht="15" customHeight="1" outlineLevel="1" x14ac:dyDescent="0.35">
      <c r="B14" s="14" t="s">
        <v>16</v>
      </c>
      <c r="C14" s="50">
        <v>1000</v>
      </c>
      <c r="F14" s="49"/>
      <c r="G14" s="49"/>
      <c r="H14" s="49"/>
      <c r="I14" s="49"/>
      <c r="J14" s="49"/>
      <c r="K14" s="49"/>
      <c r="L14" s="49"/>
      <c r="M14" s="49"/>
      <c r="N14" s="49"/>
      <c r="O14" s="49"/>
      <c r="P14" s="49"/>
    </row>
    <row r="15" spans="2:16" ht="15" customHeight="1" outlineLevel="1" x14ac:dyDescent="0.35">
      <c r="B15" s="14" t="s">
        <v>17</v>
      </c>
      <c r="C15" s="6">
        <v>0.4</v>
      </c>
      <c r="F15" s="49"/>
      <c r="G15" s="49"/>
      <c r="H15" s="49"/>
      <c r="I15" s="49"/>
      <c r="J15" s="49"/>
      <c r="K15" s="49"/>
      <c r="L15" s="49"/>
      <c r="M15" s="49"/>
      <c r="N15" s="49"/>
      <c r="O15" s="49"/>
      <c r="P15" s="49"/>
    </row>
    <row r="16" spans="2:16" ht="15" customHeight="1" outlineLevel="1" x14ac:dyDescent="0.35">
      <c r="B16" s="14" t="s">
        <v>18</v>
      </c>
      <c r="C16" s="5">
        <f>C15*C14*C21</f>
        <v>876000</v>
      </c>
      <c r="F16" s="49"/>
      <c r="G16" s="49"/>
      <c r="H16" s="49"/>
      <c r="I16" s="49"/>
      <c r="J16" s="49"/>
      <c r="K16" s="49"/>
      <c r="L16" s="49"/>
      <c r="M16" s="49"/>
      <c r="N16" s="49"/>
      <c r="O16" s="49"/>
      <c r="P16" s="49"/>
    </row>
    <row r="17" spans="2:16" ht="15" customHeight="1" outlineLevel="1" x14ac:dyDescent="0.35">
      <c r="B17" s="14" t="s">
        <v>19</v>
      </c>
      <c r="C17" s="5">
        <v>120</v>
      </c>
      <c r="F17" s="49"/>
      <c r="G17" s="49"/>
      <c r="H17" s="49"/>
      <c r="I17" s="49"/>
      <c r="J17" s="49"/>
      <c r="K17" s="49"/>
      <c r="L17" s="49"/>
      <c r="M17" s="49"/>
      <c r="N17" s="49"/>
      <c r="O17" s="49"/>
      <c r="P17" s="49"/>
    </row>
    <row r="18" spans="2:16" ht="15" customHeight="1" outlineLevel="1" x14ac:dyDescent="0.35">
      <c r="B18" s="14" t="s">
        <v>20</v>
      </c>
      <c r="C18" s="5">
        <f>C16/C14</f>
        <v>876</v>
      </c>
      <c r="F18" s="49"/>
      <c r="G18" s="49"/>
      <c r="H18" s="49"/>
      <c r="I18" s="49"/>
      <c r="J18" s="49"/>
      <c r="K18" s="49"/>
      <c r="L18" s="49"/>
      <c r="M18" s="49"/>
      <c r="N18" s="49"/>
      <c r="O18" s="49"/>
      <c r="P18" s="49"/>
    </row>
    <row r="19" spans="2:16" ht="15" customHeight="1" outlineLevel="1" x14ac:dyDescent="0.35">
      <c r="F19" s="49"/>
      <c r="G19" s="49"/>
      <c r="H19" s="49"/>
      <c r="I19" s="49"/>
      <c r="J19" s="49"/>
      <c r="K19" s="49"/>
      <c r="L19" s="49"/>
      <c r="M19" s="49"/>
      <c r="N19" s="49"/>
      <c r="O19" s="49"/>
      <c r="P19" s="49"/>
    </row>
    <row r="20" spans="2:16" ht="15" customHeight="1" outlineLevel="1" x14ac:dyDescent="0.35">
      <c r="B20" s="56" t="s">
        <v>21</v>
      </c>
      <c r="C20" s="56"/>
      <c r="D20" s="56"/>
      <c r="E20" s="56"/>
      <c r="F20" s="49"/>
      <c r="G20" s="49"/>
      <c r="H20" s="49"/>
      <c r="I20" s="49"/>
      <c r="J20" s="49"/>
      <c r="K20" s="49"/>
      <c r="L20" s="49"/>
      <c r="M20" s="49"/>
      <c r="N20" s="49"/>
      <c r="O20" s="49"/>
      <c r="P20" s="49"/>
    </row>
    <row r="21" spans="2:16" ht="15" customHeight="1" outlineLevel="1" x14ac:dyDescent="0.35">
      <c r="B21" s="1" t="s">
        <v>60</v>
      </c>
      <c r="C21" s="8">
        <f>8760/4</f>
        <v>2190</v>
      </c>
      <c r="D21" s="13" t="s">
        <v>63</v>
      </c>
      <c r="F21" s="49"/>
      <c r="G21" s="49"/>
      <c r="H21" s="49"/>
      <c r="I21" s="49"/>
      <c r="J21" s="49"/>
      <c r="K21" s="49"/>
      <c r="L21" s="49"/>
      <c r="M21" s="49"/>
      <c r="N21" s="49"/>
      <c r="O21" s="49"/>
      <c r="P21" s="49"/>
    </row>
    <row r="22" spans="2:16" ht="15" customHeight="1" outlineLevel="1" x14ac:dyDescent="0.35">
      <c r="F22" s="49"/>
      <c r="G22" s="49"/>
      <c r="H22" s="49"/>
      <c r="I22" s="49"/>
      <c r="J22" s="49"/>
      <c r="K22" s="49"/>
      <c r="L22" s="49"/>
      <c r="M22" s="49"/>
      <c r="N22" s="49"/>
      <c r="O22" s="49"/>
      <c r="P22" s="49"/>
    </row>
    <row r="23" spans="2:16" ht="15" customHeight="1" outlineLevel="1" x14ac:dyDescent="0.35">
      <c r="B23" s="25" t="s">
        <v>22</v>
      </c>
      <c r="F23" s="49"/>
      <c r="G23" s="49"/>
      <c r="H23" s="49"/>
      <c r="I23" s="49"/>
      <c r="J23" s="49"/>
      <c r="K23" s="49"/>
      <c r="L23" s="49"/>
      <c r="M23" s="49"/>
      <c r="N23" s="49"/>
      <c r="O23" s="49"/>
      <c r="P23" s="49"/>
    </row>
    <row r="24" spans="2:16" ht="15" customHeight="1" outlineLevel="1" x14ac:dyDescent="0.35">
      <c r="B24" s="14" t="s">
        <v>23</v>
      </c>
      <c r="C24" s="9">
        <v>120</v>
      </c>
      <c r="F24" s="49"/>
      <c r="G24" s="49"/>
      <c r="H24" s="49"/>
      <c r="I24" s="49"/>
      <c r="J24" s="49"/>
      <c r="K24" s="49"/>
      <c r="L24" s="49"/>
      <c r="M24" s="49"/>
      <c r="N24" s="49"/>
      <c r="O24" s="49"/>
      <c r="P24" s="49"/>
    </row>
    <row r="25" spans="2:16" ht="15" customHeight="1" outlineLevel="1" x14ac:dyDescent="0.35">
      <c r="B25" s="14" t="s">
        <v>106</v>
      </c>
      <c r="C25" s="6">
        <v>1</v>
      </c>
      <c r="F25" s="49"/>
      <c r="G25" s="49"/>
      <c r="H25" s="49"/>
      <c r="I25" s="49"/>
      <c r="J25" s="49"/>
      <c r="K25" s="49"/>
      <c r="L25" s="49"/>
      <c r="M25" s="49"/>
      <c r="N25" s="49"/>
      <c r="O25" s="49"/>
      <c r="P25" s="49"/>
    </row>
    <row r="26" spans="2:16" ht="15" customHeight="1" outlineLevel="1" x14ac:dyDescent="0.35">
      <c r="B26" s="14" t="s">
        <v>24</v>
      </c>
      <c r="C26" s="7">
        <f>C25*C9</f>
        <v>87600</v>
      </c>
      <c r="F26" s="49"/>
      <c r="G26" s="49"/>
      <c r="H26" s="49"/>
      <c r="I26" s="49"/>
      <c r="J26" s="49"/>
      <c r="K26" s="49"/>
      <c r="L26" s="49"/>
      <c r="M26" s="49"/>
      <c r="N26" s="49"/>
      <c r="O26" s="49"/>
      <c r="P26" s="49"/>
    </row>
    <row r="27" spans="2:16" ht="15" customHeight="1" outlineLevel="1" x14ac:dyDescent="0.35">
      <c r="B27" s="14"/>
      <c r="F27" s="49"/>
      <c r="G27" s="49"/>
      <c r="H27" s="49"/>
      <c r="I27" s="49"/>
      <c r="J27" s="49"/>
      <c r="K27" s="49"/>
      <c r="L27" s="49"/>
      <c r="M27" s="49"/>
      <c r="N27" s="49"/>
      <c r="O27" s="49"/>
      <c r="P27" s="49"/>
    </row>
    <row r="28" spans="2:16" ht="15" customHeight="1" outlineLevel="1" x14ac:dyDescent="0.35">
      <c r="B28" s="25" t="s">
        <v>25</v>
      </c>
      <c r="F28" s="49"/>
      <c r="G28" s="49"/>
      <c r="H28" s="49"/>
      <c r="I28" s="49"/>
      <c r="J28" s="49"/>
      <c r="K28" s="49"/>
      <c r="L28" s="49"/>
      <c r="M28" s="49"/>
      <c r="N28" s="49"/>
      <c r="O28" s="49"/>
      <c r="P28" s="49"/>
    </row>
    <row r="29" spans="2:16" ht="15" customHeight="1" outlineLevel="1" x14ac:dyDescent="0.35">
      <c r="B29" s="14" t="s">
        <v>26</v>
      </c>
      <c r="C29" s="10">
        <v>1</v>
      </c>
      <c r="F29" s="49"/>
      <c r="G29" s="49"/>
      <c r="H29" s="49"/>
      <c r="I29" s="49"/>
      <c r="J29" s="49"/>
      <c r="K29" s="49"/>
      <c r="L29" s="49"/>
      <c r="M29" s="49"/>
      <c r="N29" s="49"/>
      <c r="O29" s="49"/>
      <c r="P29" s="49"/>
    </row>
    <row r="30" spans="2:16" ht="15" customHeight="1" outlineLevel="1" x14ac:dyDescent="0.35">
      <c r="B30" s="14" t="s">
        <v>27</v>
      </c>
      <c r="C30" s="7">
        <f>'Ilustrative Comparison Tool'!$C$7*'Ilustrative Comparison Tool'!$C$29</f>
        <v>100</v>
      </c>
      <c r="F30" s="49"/>
      <c r="G30" s="49"/>
      <c r="H30" s="49"/>
      <c r="I30" s="49"/>
      <c r="J30" s="49"/>
      <c r="K30" s="49"/>
      <c r="L30" s="49"/>
      <c r="M30" s="49"/>
      <c r="N30" s="49"/>
      <c r="O30" s="49"/>
      <c r="P30" s="49"/>
    </row>
    <row r="31" spans="2:16" ht="15" customHeight="1" outlineLevel="1" x14ac:dyDescent="0.35">
      <c r="B31" s="14" t="s">
        <v>28</v>
      </c>
      <c r="C31" s="7">
        <f>C9*C24/C7</f>
        <v>105120</v>
      </c>
      <c r="D31" s="13" t="s">
        <v>61</v>
      </c>
      <c r="F31" s="49"/>
      <c r="G31" s="49"/>
      <c r="H31" s="49"/>
      <c r="I31" s="49"/>
      <c r="J31" s="49"/>
      <c r="K31" s="49"/>
      <c r="L31" s="49"/>
      <c r="M31" s="49"/>
      <c r="N31" s="49"/>
      <c r="O31" s="49"/>
      <c r="P31" s="49"/>
    </row>
    <row r="32" spans="2:16" ht="15" customHeight="1" outlineLevel="1" x14ac:dyDescent="0.35">
      <c r="F32" s="49"/>
      <c r="G32" s="49"/>
      <c r="H32" s="49"/>
      <c r="I32" s="49"/>
      <c r="J32" s="49"/>
      <c r="K32" s="49"/>
      <c r="L32" s="49"/>
      <c r="M32" s="49"/>
      <c r="N32" s="49"/>
      <c r="O32" s="49"/>
      <c r="P32" s="49"/>
    </row>
    <row r="33" spans="2:16" ht="15" customHeight="1" outlineLevel="1" x14ac:dyDescent="0.35">
      <c r="B33" s="25" t="s">
        <v>54</v>
      </c>
      <c r="F33" s="49"/>
      <c r="G33" s="49"/>
      <c r="H33" s="49"/>
      <c r="I33" s="49"/>
      <c r="J33" s="49"/>
      <c r="K33" s="49"/>
      <c r="L33" s="49"/>
      <c r="M33" s="49"/>
      <c r="N33" s="49"/>
      <c r="O33" s="49"/>
      <c r="P33" s="49"/>
    </row>
    <row r="34" spans="2:16" ht="15" customHeight="1" outlineLevel="1" x14ac:dyDescent="0.35">
      <c r="B34" s="14" t="s">
        <v>26</v>
      </c>
      <c r="C34" s="10">
        <v>1</v>
      </c>
      <c r="F34" s="49"/>
      <c r="G34" s="49"/>
      <c r="H34" s="49"/>
      <c r="I34" s="49"/>
      <c r="J34" s="49"/>
      <c r="K34" s="49"/>
      <c r="L34" s="49"/>
      <c r="M34" s="49"/>
      <c r="N34" s="49"/>
      <c r="O34" s="49"/>
      <c r="P34" s="49"/>
    </row>
    <row r="35" spans="2:16" ht="15" customHeight="1" outlineLevel="1" x14ac:dyDescent="0.35">
      <c r="B35" s="14" t="s">
        <v>27</v>
      </c>
      <c r="C35" s="15">
        <f>'Ilustrative Comparison Tool'!$C$7*$C$34</f>
        <v>100</v>
      </c>
      <c r="F35" s="49"/>
      <c r="G35" s="49"/>
      <c r="H35" s="49"/>
      <c r="I35" s="49"/>
      <c r="J35" s="49"/>
      <c r="K35" s="49"/>
      <c r="L35" s="49"/>
      <c r="M35" s="49"/>
      <c r="N35" s="49"/>
      <c r="O35" s="49"/>
      <c r="P35" s="49"/>
    </row>
    <row r="36" spans="2:16" ht="15" customHeight="1" outlineLevel="1" x14ac:dyDescent="0.35">
      <c r="B36" s="14" t="s">
        <v>23</v>
      </c>
      <c r="C36" s="11">
        <f>C24</f>
        <v>120</v>
      </c>
      <c r="D36" s="13" t="s">
        <v>62</v>
      </c>
      <c r="F36" s="49"/>
      <c r="G36" s="49"/>
      <c r="H36" s="49"/>
      <c r="I36" s="49"/>
      <c r="J36" s="49"/>
      <c r="K36" s="49"/>
      <c r="L36" s="49"/>
      <c r="M36" s="49"/>
      <c r="N36" s="49"/>
      <c r="O36" s="49"/>
      <c r="P36" s="49"/>
    </row>
    <row r="37" spans="2:16" ht="9" customHeight="1" outlineLevel="1" x14ac:dyDescent="0.35">
      <c r="B37" s="49"/>
      <c r="C37" s="49"/>
      <c r="D37" s="49"/>
      <c r="E37" s="49"/>
      <c r="F37" s="49"/>
      <c r="G37" s="49"/>
      <c r="H37" s="49"/>
      <c r="I37" s="49"/>
      <c r="J37" s="49"/>
      <c r="K37" s="49"/>
      <c r="L37" s="49"/>
      <c r="M37" s="49"/>
      <c r="N37" s="49"/>
      <c r="O37" s="49"/>
      <c r="P37" s="49"/>
    </row>
    <row r="38" spans="2:16" ht="17.5" thickBot="1" x14ac:dyDescent="0.4">
      <c r="B38" s="53" t="s">
        <v>77</v>
      </c>
      <c r="C38" s="53"/>
      <c r="D38" s="53"/>
      <c r="E38" s="53"/>
      <c r="F38" s="53"/>
      <c r="G38" s="53"/>
      <c r="H38" s="53"/>
      <c r="I38" s="53"/>
      <c r="J38" s="53"/>
      <c r="K38" s="53"/>
      <c r="L38" s="53"/>
      <c r="M38" s="53"/>
      <c r="N38" s="53"/>
      <c r="O38" s="53"/>
      <c r="P38" s="12"/>
    </row>
    <row r="39" spans="2:16" ht="15" outlineLevel="1" thickTop="1" x14ac:dyDescent="0.35"/>
    <row r="40" spans="2:16" outlineLevel="1" x14ac:dyDescent="0.35">
      <c r="B40" s="29"/>
      <c r="C40" s="29"/>
      <c r="D40" s="29"/>
      <c r="E40" s="64" t="s">
        <v>75</v>
      </c>
      <c r="F40" s="64"/>
      <c r="G40" s="64" t="s">
        <v>104</v>
      </c>
      <c r="H40" s="64"/>
      <c r="I40" s="29"/>
      <c r="J40" s="29"/>
      <c r="K40" s="29"/>
      <c r="L40" s="29"/>
    </row>
    <row r="41" spans="2:16" outlineLevel="1" x14ac:dyDescent="0.35">
      <c r="B41" s="45" t="s">
        <v>65</v>
      </c>
      <c r="C41" s="63" t="s">
        <v>66</v>
      </c>
      <c r="D41" s="63"/>
      <c r="E41" s="45" t="s">
        <v>73</v>
      </c>
      <c r="F41" s="45" t="s">
        <v>74</v>
      </c>
      <c r="G41" s="45" t="s">
        <v>73</v>
      </c>
      <c r="H41" s="45" t="s">
        <v>74</v>
      </c>
      <c r="I41" s="29"/>
      <c r="J41" s="29"/>
      <c r="K41" s="29"/>
      <c r="L41" s="29"/>
    </row>
    <row r="42" spans="2:16" ht="13.5" customHeight="1" outlineLevel="1" x14ac:dyDescent="0.35">
      <c r="B42" s="38" t="s">
        <v>76</v>
      </c>
      <c r="C42" s="39" t="s">
        <v>67</v>
      </c>
      <c r="D42" s="29"/>
      <c r="E42" s="40">
        <v>0</v>
      </c>
      <c r="F42" s="41">
        <v>0</v>
      </c>
      <c r="G42" s="41">
        <v>0</v>
      </c>
      <c r="H42" s="41">
        <v>0</v>
      </c>
      <c r="I42" s="54" t="s">
        <v>96</v>
      </c>
      <c r="J42" s="54"/>
      <c r="K42" s="54"/>
      <c r="L42" s="54"/>
    </row>
    <row r="43" spans="2:16" outlineLevel="1" x14ac:dyDescent="0.35">
      <c r="B43" s="38" t="s">
        <v>109</v>
      </c>
      <c r="C43" s="39" t="s">
        <v>68</v>
      </c>
      <c r="D43" s="29"/>
      <c r="E43" s="42">
        <v>0</v>
      </c>
      <c r="F43" s="43">
        <v>-0.2</v>
      </c>
      <c r="G43" s="43">
        <v>0</v>
      </c>
      <c r="H43" s="43">
        <v>0</v>
      </c>
      <c r="I43" s="54"/>
      <c r="J43" s="54"/>
      <c r="K43" s="54"/>
      <c r="L43" s="54"/>
    </row>
    <row r="44" spans="2:16" outlineLevel="1" x14ac:dyDescent="0.35">
      <c r="B44" s="38" t="s">
        <v>110</v>
      </c>
      <c r="C44" s="39" t="s">
        <v>69</v>
      </c>
      <c r="D44" s="29"/>
      <c r="E44" s="42">
        <v>0</v>
      </c>
      <c r="F44" s="43">
        <v>0.2</v>
      </c>
      <c r="G44" s="43">
        <v>0</v>
      </c>
      <c r="H44" s="43">
        <v>0</v>
      </c>
      <c r="I44" s="29"/>
      <c r="J44" s="29"/>
      <c r="K44" s="29"/>
      <c r="L44" s="29"/>
    </row>
    <row r="45" spans="2:16" outlineLevel="1" x14ac:dyDescent="0.35">
      <c r="B45" s="38" t="s">
        <v>107</v>
      </c>
      <c r="C45" s="39" t="s">
        <v>70</v>
      </c>
      <c r="D45" s="29"/>
      <c r="E45" s="42">
        <v>-0.2</v>
      </c>
      <c r="F45" s="43">
        <v>0</v>
      </c>
      <c r="G45" s="43">
        <v>0</v>
      </c>
      <c r="H45" s="43">
        <v>0</v>
      </c>
      <c r="I45" s="29"/>
      <c r="J45" s="29"/>
      <c r="K45" s="29"/>
      <c r="L45" s="29"/>
    </row>
    <row r="46" spans="2:16" outlineLevel="1" x14ac:dyDescent="0.35">
      <c r="B46" s="38" t="s">
        <v>108</v>
      </c>
      <c r="C46" s="39" t="s">
        <v>71</v>
      </c>
      <c r="D46" s="29"/>
      <c r="E46" s="42">
        <v>0.2</v>
      </c>
      <c r="F46" s="43">
        <v>0</v>
      </c>
      <c r="G46" s="43">
        <v>0</v>
      </c>
      <c r="H46" s="43">
        <v>0</v>
      </c>
      <c r="I46" s="29"/>
      <c r="J46" s="29"/>
      <c r="K46" s="29"/>
      <c r="L46" s="29"/>
    </row>
    <row r="47" spans="2:16" outlineLevel="1" x14ac:dyDescent="0.35">
      <c r="B47" s="38" t="s">
        <v>111</v>
      </c>
      <c r="C47" s="39" t="s">
        <v>72</v>
      </c>
      <c r="D47" s="29"/>
      <c r="E47" s="42">
        <v>-0.5</v>
      </c>
      <c r="F47" s="43">
        <v>-0.3</v>
      </c>
      <c r="G47" s="43">
        <v>0</v>
      </c>
      <c r="H47" s="43">
        <v>0</v>
      </c>
      <c r="I47" s="29"/>
      <c r="J47" s="29"/>
      <c r="K47" s="29"/>
      <c r="L47" s="29"/>
    </row>
    <row r="48" spans="2:16" outlineLevel="1" x14ac:dyDescent="0.35">
      <c r="B48" s="38" t="s">
        <v>112</v>
      </c>
      <c r="C48" s="39" t="s">
        <v>84</v>
      </c>
      <c r="D48" s="29"/>
      <c r="E48" s="42">
        <v>-0.4</v>
      </c>
      <c r="F48" s="43">
        <v>0.25</v>
      </c>
      <c r="G48" s="42">
        <v>-0.4</v>
      </c>
      <c r="H48" s="43">
        <v>0.25</v>
      </c>
      <c r="I48" s="29"/>
      <c r="J48" s="29"/>
      <c r="K48" s="29"/>
      <c r="L48" s="29"/>
    </row>
    <row r="49" spans="2:16" outlineLevel="1" x14ac:dyDescent="0.35">
      <c r="B49" s="38" t="s">
        <v>113</v>
      </c>
      <c r="C49" s="39" t="s">
        <v>93</v>
      </c>
      <c r="D49" s="29"/>
      <c r="E49" s="42">
        <v>-0.4</v>
      </c>
      <c r="F49" s="43">
        <v>0.2</v>
      </c>
      <c r="G49" s="43">
        <v>-0.3</v>
      </c>
      <c r="H49" s="43">
        <v>0.3</v>
      </c>
      <c r="I49" s="29"/>
      <c r="J49" s="29"/>
      <c r="K49" s="29"/>
      <c r="L49" s="29"/>
    </row>
    <row r="50" spans="2:16" outlineLevel="1" x14ac:dyDescent="0.35">
      <c r="B50" s="38" t="s">
        <v>114</v>
      </c>
      <c r="C50" s="39" t="s">
        <v>92</v>
      </c>
      <c r="D50" s="29"/>
      <c r="E50" s="42">
        <v>-0.3</v>
      </c>
      <c r="F50" s="43">
        <v>0.3</v>
      </c>
      <c r="G50" s="43">
        <v>-0.4</v>
      </c>
      <c r="H50" s="43">
        <v>0.2</v>
      </c>
      <c r="I50" s="29"/>
      <c r="J50" s="29"/>
      <c r="K50" s="29"/>
      <c r="L50" s="29"/>
    </row>
    <row r="51" spans="2:16" outlineLevel="1" x14ac:dyDescent="0.35">
      <c r="B51" s="38" t="s">
        <v>115</v>
      </c>
      <c r="C51" s="44" t="s">
        <v>105</v>
      </c>
      <c r="D51" s="29"/>
      <c r="E51" s="42">
        <v>0.5</v>
      </c>
      <c r="F51" s="43">
        <v>-0.3</v>
      </c>
      <c r="G51" s="43">
        <v>0.5</v>
      </c>
      <c r="H51" s="43">
        <v>-0.3</v>
      </c>
      <c r="I51" s="29"/>
      <c r="J51" s="29"/>
      <c r="K51" s="29"/>
      <c r="L51" s="29"/>
    </row>
    <row r="52" spans="2:16" outlineLevel="1" x14ac:dyDescent="0.35">
      <c r="B52" s="38" t="s">
        <v>116</v>
      </c>
      <c r="C52" s="44" t="s">
        <v>91</v>
      </c>
      <c r="D52" s="29"/>
      <c r="E52" s="42">
        <v>0.4</v>
      </c>
      <c r="F52" s="43">
        <v>-0.4</v>
      </c>
      <c r="G52" s="43">
        <v>0.5</v>
      </c>
      <c r="H52" s="43">
        <v>-0.3</v>
      </c>
      <c r="I52" s="29"/>
      <c r="J52" s="29"/>
      <c r="K52" s="29"/>
      <c r="L52" s="29"/>
    </row>
    <row r="53" spans="2:16" outlineLevel="1" x14ac:dyDescent="0.35">
      <c r="B53" s="38" t="s">
        <v>117</v>
      </c>
      <c r="C53" s="44" t="s">
        <v>90</v>
      </c>
      <c r="D53" s="29"/>
      <c r="E53" s="42">
        <v>0.6</v>
      </c>
      <c r="F53" s="43">
        <v>-0.25</v>
      </c>
      <c r="G53" s="43">
        <v>0.5</v>
      </c>
      <c r="H53" s="43">
        <v>-0.3</v>
      </c>
      <c r="I53" s="29"/>
      <c r="J53" s="29"/>
      <c r="K53" s="29"/>
      <c r="L53" s="29"/>
    </row>
    <row r="54" spans="2:16" outlineLevel="1" x14ac:dyDescent="0.35">
      <c r="B54" s="38" t="s">
        <v>118</v>
      </c>
      <c r="C54" s="44" t="s">
        <v>85</v>
      </c>
      <c r="D54" s="29"/>
      <c r="E54" s="42">
        <v>0</v>
      </c>
      <c r="F54" s="43">
        <v>0</v>
      </c>
      <c r="G54" s="43">
        <v>0</v>
      </c>
      <c r="H54" s="43">
        <v>0</v>
      </c>
      <c r="I54" s="29"/>
      <c r="J54" s="29"/>
      <c r="K54" s="29"/>
      <c r="L54" s="29"/>
    </row>
    <row r="55" spans="2:16" outlineLevel="1" x14ac:dyDescent="0.35"/>
    <row r="56" spans="2:16" ht="17.5" thickBot="1" x14ac:dyDescent="0.4">
      <c r="B56" s="53" t="s">
        <v>95</v>
      </c>
      <c r="C56" s="53"/>
      <c r="D56" s="53"/>
      <c r="E56" s="53"/>
      <c r="F56" s="53"/>
      <c r="G56" s="53"/>
      <c r="H56" s="53"/>
      <c r="I56" s="53"/>
      <c r="J56" s="53"/>
      <c r="K56" s="53"/>
      <c r="L56" s="53"/>
      <c r="M56" s="53"/>
      <c r="N56" s="53"/>
      <c r="O56" s="53"/>
      <c r="P56" s="12"/>
    </row>
    <row r="57" spans="2:16" ht="15" outlineLevel="1" thickTop="1" x14ac:dyDescent="0.35"/>
    <row r="58" spans="2:16" ht="70.5" customHeight="1" outlineLevel="1" x14ac:dyDescent="0.35">
      <c r="B58" s="52" t="s">
        <v>119</v>
      </c>
      <c r="C58" s="47" t="str">
        <f>B42</f>
        <v>Base Case</v>
      </c>
      <c r="D58" s="48" t="str">
        <f>B43</f>
        <v xml:space="preserve">Scenario 1: Project DWAP &lt; Reference DWAP </v>
      </c>
      <c r="E58" s="48" t="str">
        <f>B44</f>
        <v>Scenario 2: Project DWAP &gt; Reference DWAP</v>
      </c>
      <c r="F58" s="48" t="str">
        <f>B45</f>
        <v>Scenario 3: Project Volume &lt; Reference Volume</v>
      </c>
      <c r="G58" s="48" t="str">
        <f>B46</f>
        <v>Scenario 4: Project Volume &gt;  Reference Volume</v>
      </c>
      <c r="H58" s="48" t="str">
        <f>B47</f>
        <v>Scenario 5: FM Event</v>
      </c>
      <c r="I58" s="47" t="str">
        <f>B48</f>
        <v>Senario 6: VRE Drought</v>
      </c>
      <c r="J58" s="48" t="str">
        <f>B49</f>
        <v>Scenario 7: VRE drought, project underperforms</v>
      </c>
      <c r="K58" s="48" t="str">
        <f>B50</f>
        <v>Scenario 8: VRE drought, project overperforms</v>
      </c>
      <c r="L58" s="48" t="str">
        <f>B51</f>
        <v>Scenario 9: VRE oversupply</v>
      </c>
      <c r="M58" s="48" t="str">
        <f>B52</f>
        <v>Scenario 10: VRE oversupply, project underperforms</v>
      </c>
      <c r="N58" s="48" t="str">
        <f>B53</f>
        <v>Scenario 11: VRE oversupply, project overperforms</v>
      </c>
      <c r="O58" s="48" t="str">
        <f>B54</f>
        <v>Scenario 12: Blank</v>
      </c>
    </row>
    <row r="59" spans="2:16" outlineLevel="1" x14ac:dyDescent="0.35">
      <c r="B59" s="17" t="s">
        <v>81</v>
      </c>
      <c r="C59" s="46">
        <f>'Ilustrative Comparison Tool'!C16</f>
        <v>876000</v>
      </c>
      <c r="D59" s="46">
        <f>$C$59*(1+G43)</f>
        <v>876000</v>
      </c>
      <c r="E59" s="46">
        <f>$C$59*(1+G44)</f>
        <v>876000</v>
      </c>
      <c r="F59" s="46">
        <f>$C$59*(1+G45)</f>
        <v>876000</v>
      </c>
      <c r="G59" s="46">
        <f>$C$59*(1+G46)</f>
        <v>876000</v>
      </c>
      <c r="H59" s="46">
        <f>$C$59*(1+G47)</f>
        <v>876000</v>
      </c>
      <c r="I59" s="46">
        <f>$C$59*(1+G48)</f>
        <v>525600</v>
      </c>
      <c r="J59" s="46">
        <f>$C$59*(1+G49)</f>
        <v>613200</v>
      </c>
      <c r="K59" s="46">
        <f>$C$59*(1+G50)</f>
        <v>525600</v>
      </c>
      <c r="L59" s="46">
        <f>$C$59*(1+G51)</f>
        <v>1314000</v>
      </c>
      <c r="M59" s="46">
        <f>$C$59*(1+G52)</f>
        <v>1314000</v>
      </c>
      <c r="N59" s="46">
        <f>$C$59*(1+G53)</f>
        <v>1314000</v>
      </c>
      <c r="O59" s="46">
        <f>IF(SUM(E54:H54)=0,0,$C$59*(1+G54))</f>
        <v>0</v>
      </c>
    </row>
    <row r="60" spans="2:16" outlineLevel="1" x14ac:dyDescent="0.35">
      <c r="B60" s="17" t="s">
        <v>82</v>
      </c>
      <c r="C60" s="46">
        <f>C59/'Ilustrative Comparison Tool'!$C$14</f>
        <v>876</v>
      </c>
      <c r="D60" s="46">
        <f>D59/'Ilustrative Comparison Tool'!$C$14</f>
        <v>876</v>
      </c>
      <c r="E60" s="46">
        <f>E59/'Ilustrative Comparison Tool'!$C$14</f>
        <v>876</v>
      </c>
      <c r="F60" s="46">
        <f>F59/'Ilustrative Comparison Tool'!$C$14</f>
        <v>876</v>
      </c>
      <c r="G60" s="46">
        <f>G59/'Ilustrative Comparison Tool'!$C$14</f>
        <v>876</v>
      </c>
      <c r="H60" s="46">
        <f>H59/'Ilustrative Comparison Tool'!$C$14</f>
        <v>876</v>
      </c>
      <c r="I60" s="46">
        <f>I59/'Ilustrative Comparison Tool'!$C$14</f>
        <v>525.6</v>
      </c>
      <c r="J60" s="46">
        <f>J59/'Ilustrative Comparison Tool'!$C$14</f>
        <v>613.20000000000005</v>
      </c>
      <c r="K60" s="46">
        <f>K59/'Ilustrative Comparison Tool'!$C$14</f>
        <v>525.6</v>
      </c>
      <c r="L60" s="46">
        <f>L59/'Ilustrative Comparison Tool'!$C$14</f>
        <v>1314</v>
      </c>
      <c r="M60" s="46">
        <f>M59/'Ilustrative Comparison Tool'!$C$14</f>
        <v>1314</v>
      </c>
      <c r="N60" s="46">
        <f>N59/'Ilustrative Comparison Tool'!$C$14</f>
        <v>1314</v>
      </c>
      <c r="O60" s="46">
        <f>IF(SUM(E54:H54)=0,0,O59/'Ilustrative Comparison Tool'!$C$14)</f>
        <v>0</v>
      </c>
    </row>
    <row r="61" spans="2:16" outlineLevel="1" x14ac:dyDescent="0.35">
      <c r="B61" s="17" t="s">
        <v>19</v>
      </c>
      <c r="C61" s="46">
        <f>'Ilustrative Comparison Tool'!C17</f>
        <v>120</v>
      </c>
      <c r="D61" s="46">
        <f>$C$61*(1+H43)</f>
        <v>120</v>
      </c>
      <c r="E61" s="46">
        <f>$C$61*(1+H44)</f>
        <v>120</v>
      </c>
      <c r="F61" s="46">
        <f>$C$61*(1+H45)</f>
        <v>120</v>
      </c>
      <c r="G61" s="46">
        <f>$C$61*(1+H46)</f>
        <v>120</v>
      </c>
      <c r="H61" s="46">
        <f>$C$61*(1+H47)</f>
        <v>120</v>
      </c>
      <c r="I61" s="46">
        <f>$C$61*(1+H48)</f>
        <v>150</v>
      </c>
      <c r="J61" s="46">
        <f>$C$61*(1+H49)</f>
        <v>156</v>
      </c>
      <c r="K61" s="46">
        <f>$C$61*(1+H50)</f>
        <v>144</v>
      </c>
      <c r="L61" s="46">
        <f>$C$61*(1+H51)</f>
        <v>84</v>
      </c>
      <c r="M61" s="46">
        <f>$C$61*(1+H52)</f>
        <v>84</v>
      </c>
      <c r="N61" s="46">
        <f>$C$61*(1+H53)</f>
        <v>84</v>
      </c>
      <c r="O61" s="46">
        <f>IF(SUM(E54:H54)=0,0,$C$61*(1+H54))</f>
        <v>0</v>
      </c>
    </row>
    <row r="62" spans="2:16" outlineLevel="1" x14ac:dyDescent="0.35">
      <c r="B62" s="17" t="s">
        <v>31</v>
      </c>
      <c r="C62" s="18">
        <f>C59*C61</f>
        <v>105120000</v>
      </c>
      <c r="D62" s="18">
        <f>D59*D61</f>
        <v>105120000</v>
      </c>
      <c r="E62" s="18">
        <f t="shared" ref="E62:G62" si="0">E59*E61</f>
        <v>105120000</v>
      </c>
      <c r="F62" s="18">
        <f>F59*F61</f>
        <v>105120000</v>
      </c>
      <c r="G62" s="18">
        <f t="shared" si="0"/>
        <v>105120000</v>
      </c>
      <c r="H62" s="18">
        <f t="shared" ref="H62:I62" si="1">H59*H61</f>
        <v>105120000</v>
      </c>
      <c r="I62" s="18">
        <f t="shared" si="1"/>
        <v>78840000</v>
      </c>
      <c r="J62" s="18">
        <f t="shared" ref="J62:L62" si="2">J59*J61</f>
        <v>95659200</v>
      </c>
      <c r="K62" s="18">
        <f t="shared" si="2"/>
        <v>75686400</v>
      </c>
      <c r="L62" s="18">
        <f t="shared" si="2"/>
        <v>110376000</v>
      </c>
      <c r="M62" s="18">
        <f>M59*M61</f>
        <v>110376000</v>
      </c>
      <c r="N62" s="18">
        <f>N59*N61</f>
        <v>110376000</v>
      </c>
      <c r="O62" s="18">
        <f>IF(SUM(E54:H54)=0,0,O59*O61)</f>
        <v>0</v>
      </c>
    </row>
    <row r="63" spans="2:16" outlineLevel="1" x14ac:dyDescent="0.35">
      <c r="B63" s="17" t="s">
        <v>32</v>
      </c>
      <c r="C63" s="18">
        <f>C62/'Ilustrative Comparison Tool'!$C$14</f>
        <v>105120</v>
      </c>
      <c r="D63" s="18">
        <f>D62/'Ilustrative Comparison Tool'!$C$14</f>
        <v>105120</v>
      </c>
      <c r="E63" s="18">
        <f>E62/'Ilustrative Comparison Tool'!$C$14</f>
        <v>105120</v>
      </c>
      <c r="F63" s="18">
        <f>F62/'Ilustrative Comparison Tool'!$C$14</f>
        <v>105120</v>
      </c>
      <c r="G63" s="18">
        <f>G62/'Ilustrative Comparison Tool'!$C$14</f>
        <v>105120</v>
      </c>
      <c r="H63" s="18">
        <f>H62/'Ilustrative Comparison Tool'!$C$14</f>
        <v>105120</v>
      </c>
      <c r="I63" s="18">
        <f>I62/'Ilustrative Comparison Tool'!$C$14</f>
        <v>78840</v>
      </c>
      <c r="J63" s="18">
        <f>J62/'Ilustrative Comparison Tool'!$C$14</f>
        <v>95659.199999999997</v>
      </c>
      <c r="K63" s="18">
        <f>K62/'Ilustrative Comparison Tool'!$C$14</f>
        <v>75686.399999999994</v>
      </c>
      <c r="L63" s="18">
        <f>L62/'Ilustrative Comparison Tool'!$C$14</f>
        <v>110376</v>
      </c>
      <c r="M63" s="18">
        <f>M62/'Ilustrative Comparison Tool'!$C$14</f>
        <v>110376</v>
      </c>
      <c r="N63" s="18">
        <f>N62/'Ilustrative Comparison Tool'!$C$14</f>
        <v>110376</v>
      </c>
      <c r="O63" s="18">
        <f>IF(SUM(E54:H54)=0,0,O62/'Ilustrative Comparison Tool'!$C$14)</f>
        <v>0</v>
      </c>
    </row>
    <row r="64" spans="2:16" outlineLevel="1" x14ac:dyDescent="0.35"/>
    <row r="65" spans="2:16" ht="17.5" thickBot="1" x14ac:dyDescent="0.45">
      <c r="B65" s="27" t="s">
        <v>29</v>
      </c>
      <c r="C65" s="27"/>
      <c r="D65" s="27"/>
      <c r="E65" s="27"/>
      <c r="F65" s="27"/>
      <c r="G65" s="27"/>
      <c r="H65" s="27"/>
      <c r="I65" s="27"/>
      <c r="J65" s="35"/>
      <c r="K65" s="35"/>
      <c r="L65" s="35"/>
      <c r="M65" s="35"/>
      <c r="N65" s="35"/>
      <c r="O65" s="35"/>
      <c r="P65" s="35"/>
    </row>
    <row r="66" spans="2:16" ht="17.5" outlineLevel="1" thickTop="1" x14ac:dyDescent="0.4">
      <c r="B66" s="36"/>
      <c r="C66" s="36"/>
      <c r="D66" s="36"/>
      <c r="E66" s="36"/>
      <c r="F66" s="36"/>
      <c r="G66" s="36"/>
      <c r="H66" s="36"/>
      <c r="I66" s="36"/>
      <c r="J66" s="37"/>
      <c r="K66" s="37"/>
      <c r="L66" s="37"/>
      <c r="M66" s="37"/>
      <c r="N66" s="37"/>
      <c r="O66" s="37"/>
      <c r="P66" s="37"/>
    </row>
    <row r="67" spans="2:16" ht="75.650000000000006" customHeight="1" outlineLevel="1" x14ac:dyDescent="0.35">
      <c r="B67" s="52" t="s">
        <v>119</v>
      </c>
      <c r="C67" s="47" t="str">
        <f t="shared" ref="C67:G67" si="3">C58</f>
        <v>Base Case</v>
      </c>
      <c r="D67" s="47" t="str">
        <f t="shared" si="3"/>
        <v xml:space="preserve">Scenario 1: Project DWAP &lt; Reference DWAP </v>
      </c>
      <c r="E67" s="47" t="str">
        <f t="shared" si="3"/>
        <v>Scenario 2: Project DWAP &gt; Reference DWAP</v>
      </c>
      <c r="F67" s="47" t="str">
        <f t="shared" si="3"/>
        <v>Scenario 3: Project Volume &lt; Reference Volume</v>
      </c>
      <c r="G67" s="47" t="str">
        <f t="shared" si="3"/>
        <v>Scenario 4: Project Volume &gt;  Reference Volume</v>
      </c>
      <c r="H67" s="47" t="str">
        <f t="shared" ref="H67:O67" si="4">H58</f>
        <v>Scenario 5: FM Event</v>
      </c>
      <c r="I67" s="47" t="str">
        <f t="shared" si="4"/>
        <v>Senario 6: VRE Drought</v>
      </c>
      <c r="J67" s="47" t="str">
        <f t="shared" si="4"/>
        <v>Scenario 7: VRE drought, project underperforms</v>
      </c>
      <c r="K67" s="47" t="str">
        <f t="shared" si="4"/>
        <v>Scenario 8: VRE drought, project overperforms</v>
      </c>
      <c r="L67" s="47" t="str">
        <f t="shared" si="4"/>
        <v>Scenario 9: VRE oversupply</v>
      </c>
      <c r="M67" s="47" t="str">
        <f t="shared" si="4"/>
        <v>Scenario 10: VRE oversupply, project underperforms</v>
      </c>
      <c r="N67" s="47" t="str">
        <f t="shared" si="4"/>
        <v>Scenario 11: VRE oversupply, project overperforms</v>
      </c>
      <c r="O67" s="47" t="str">
        <f t="shared" si="4"/>
        <v>Scenario 12: Blank</v>
      </c>
    </row>
    <row r="68" spans="2:16" outlineLevel="1" x14ac:dyDescent="0.35">
      <c r="B68" s="25" t="s">
        <v>94</v>
      </c>
      <c r="C68" s="28"/>
      <c r="D68" s="28"/>
      <c r="E68" s="28"/>
      <c r="F68" s="28"/>
      <c r="G68" s="28"/>
      <c r="H68" s="28"/>
      <c r="I68" s="28"/>
      <c r="J68" s="28"/>
      <c r="K68" s="28"/>
      <c r="L68" s="28"/>
      <c r="M68" s="28"/>
      <c r="N68" s="28"/>
      <c r="O68" s="28"/>
    </row>
    <row r="69" spans="2:16" outlineLevel="1" x14ac:dyDescent="0.35">
      <c r="B69" s="17" t="s">
        <v>80</v>
      </c>
      <c r="C69" s="7">
        <f>'Ilustrative Comparison Tool'!$C$9</f>
        <v>87600</v>
      </c>
      <c r="D69" s="7">
        <f>$C$69*(1+E43)</f>
        <v>87600</v>
      </c>
      <c r="E69" s="7">
        <f>$C$69*(1+E44)</f>
        <v>87600</v>
      </c>
      <c r="F69" s="7">
        <f>$C$69*(1+E45)</f>
        <v>70080</v>
      </c>
      <c r="G69" s="7">
        <f>$C$69*(1+E46)</f>
        <v>105120</v>
      </c>
      <c r="H69" s="7">
        <f>$C$69*(1+E47)</f>
        <v>43800</v>
      </c>
      <c r="I69" s="7">
        <f>$C$69*(1+E48)</f>
        <v>52560</v>
      </c>
      <c r="J69" s="7">
        <f>$C$69*(1+E49)</f>
        <v>52560</v>
      </c>
      <c r="K69" s="7">
        <f>$C$69*(1+E50)</f>
        <v>61319.999999999993</v>
      </c>
      <c r="L69" s="7">
        <f>$C$69*(1+E51)</f>
        <v>131400</v>
      </c>
      <c r="M69" s="7">
        <f>$C$69*(1+E52)</f>
        <v>122639.99999999999</v>
      </c>
      <c r="N69" s="7">
        <f>$C$69*(1+E53)</f>
        <v>140160</v>
      </c>
      <c r="O69" s="4">
        <f>IF(SUM(E54:H54)=0,0,$C$69*(1+E54))</f>
        <v>0</v>
      </c>
    </row>
    <row r="70" spans="2:16" outlineLevel="1" x14ac:dyDescent="0.35">
      <c r="B70" s="17" t="s">
        <v>13</v>
      </c>
      <c r="C70" s="18">
        <f>'Ilustrative Comparison Tool'!$C$10</f>
        <v>120</v>
      </c>
      <c r="D70" s="18">
        <f>$C$70*(1+F43)</f>
        <v>96</v>
      </c>
      <c r="E70" s="18">
        <f>$C$70*(1+F44)</f>
        <v>144</v>
      </c>
      <c r="F70" s="18">
        <f>$C$70*(1+F45)</f>
        <v>120</v>
      </c>
      <c r="G70" s="18">
        <f>$C$70*(1+F46)</f>
        <v>120</v>
      </c>
      <c r="H70" s="18">
        <f>$C$70*(1+F47)</f>
        <v>84</v>
      </c>
      <c r="I70" s="7">
        <f>$C$70*(1+F48)</f>
        <v>150</v>
      </c>
      <c r="J70" s="18">
        <f>$C$70*(1+F49)</f>
        <v>144</v>
      </c>
      <c r="K70" s="18">
        <f>$C$70*(1+F50)</f>
        <v>156</v>
      </c>
      <c r="L70" s="18">
        <f>$C$70*(1+F51)</f>
        <v>84</v>
      </c>
      <c r="M70" s="18">
        <f>$C$70*(1+F52)</f>
        <v>72</v>
      </c>
      <c r="N70" s="18">
        <f>$C$70*(1+F53)</f>
        <v>90</v>
      </c>
      <c r="O70" s="16">
        <f>IF(SUM(E54:H54)=0,0,$C$70*(1+F54))</f>
        <v>0</v>
      </c>
    </row>
    <row r="71" spans="2:16" outlineLevel="1" x14ac:dyDescent="0.35">
      <c r="B71" s="17" t="s">
        <v>79</v>
      </c>
      <c r="C71" s="18">
        <f>C69*C70</f>
        <v>10512000</v>
      </c>
      <c r="D71" s="18">
        <f t="shared" ref="D71:G71" si="5">D69*D70</f>
        <v>8409600</v>
      </c>
      <c r="E71" s="18">
        <f t="shared" si="5"/>
        <v>12614400</v>
      </c>
      <c r="F71" s="18">
        <f t="shared" si="5"/>
        <v>8409600</v>
      </c>
      <c r="G71" s="18">
        <f t="shared" si="5"/>
        <v>12614400</v>
      </c>
      <c r="H71" s="18">
        <f>H69*H70</f>
        <v>3679200</v>
      </c>
      <c r="I71" s="7">
        <f>I69*I70</f>
        <v>7884000</v>
      </c>
      <c r="J71" s="18">
        <f>J69*J70</f>
        <v>7568640</v>
      </c>
      <c r="K71" s="18">
        <f t="shared" ref="K71:L71" si="6">K69*K70</f>
        <v>9565919.9999999981</v>
      </c>
      <c r="L71" s="18">
        <f t="shared" si="6"/>
        <v>11037600</v>
      </c>
      <c r="M71" s="18">
        <f t="shared" ref="M71" si="7">M69*M70</f>
        <v>8830079.9999999981</v>
      </c>
      <c r="N71" s="18">
        <f>N69*N70</f>
        <v>12614400</v>
      </c>
      <c r="O71" s="16">
        <f>IF(SUM(E54:H54)=0,0,O69*O70)</f>
        <v>0</v>
      </c>
    </row>
    <row r="72" spans="2:16" outlineLevel="1" x14ac:dyDescent="0.35">
      <c r="B72" s="17" t="s">
        <v>30</v>
      </c>
      <c r="C72" s="18">
        <f>C71/'Ilustrative Comparison Tool'!$C$7</f>
        <v>105120</v>
      </c>
      <c r="D72" s="18">
        <f>D71/'Ilustrative Comparison Tool'!$C$7</f>
        <v>84096</v>
      </c>
      <c r="E72" s="18">
        <f>E71/'Ilustrative Comparison Tool'!$C$7</f>
        <v>126144</v>
      </c>
      <c r="F72" s="18">
        <f>F71/'Ilustrative Comparison Tool'!$C$7</f>
        <v>84096</v>
      </c>
      <c r="G72" s="18">
        <f>G71/'Ilustrative Comparison Tool'!$C$7</f>
        <v>126144</v>
      </c>
      <c r="H72" s="18">
        <f>H71/'Ilustrative Comparison Tool'!$C$7</f>
        <v>36792</v>
      </c>
      <c r="I72" s="7">
        <f>I71/'Ilustrative Comparison Tool'!$C$7</f>
        <v>78840</v>
      </c>
      <c r="J72" s="18">
        <f>J71/'Ilustrative Comparison Tool'!$C$7</f>
        <v>75686.399999999994</v>
      </c>
      <c r="K72" s="18">
        <f>K71/'Ilustrative Comparison Tool'!$C$7</f>
        <v>95659.199999999983</v>
      </c>
      <c r="L72" s="18">
        <f>L71/'Ilustrative Comparison Tool'!$C$7</f>
        <v>110376</v>
      </c>
      <c r="M72" s="18">
        <f>M71/'Ilustrative Comparison Tool'!$C$7</f>
        <v>88300.799999999988</v>
      </c>
      <c r="N72" s="18">
        <f>N71/'Ilustrative Comparison Tool'!$C$7</f>
        <v>126144</v>
      </c>
      <c r="O72" s="16">
        <f>IF(SUM(E54:H54)=0,0,O71/'Ilustrative Comparison Tool'!$C$7)</f>
        <v>0</v>
      </c>
    </row>
    <row r="73" spans="2:16" ht="17" outlineLevel="1" x14ac:dyDescent="0.35">
      <c r="B73" s="36"/>
      <c r="C73" s="28"/>
      <c r="D73" s="28"/>
      <c r="E73" s="28"/>
      <c r="F73" s="28"/>
      <c r="G73" s="28"/>
      <c r="H73" s="28"/>
      <c r="I73" s="28"/>
      <c r="J73" s="28"/>
      <c r="K73" s="28"/>
      <c r="L73" s="28"/>
      <c r="M73" s="28"/>
      <c r="N73" s="28"/>
      <c r="O73" s="28"/>
    </row>
    <row r="74" spans="2:16" outlineLevel="1" x14ac:dyDescent="0.35">
      <c r="B74" s="25" t="s">
        <v>78</v>
      </c>
      <c r="C74" s="21"/>
      <c r="D74" s="19"/>
      <c r="E74" s="19"/>
      <c r="F74" s="19"/>
      <c r="G74" s="19"/>
      <c r="H74" s="19"/>
    </row>
    <row r="75" spans="2:16" outlineLevel="1" x14ac:dyDescent="0.35">
      <c r="B75" s="17" t="s">
        <v>33</v>
      </c>
      <c r="C75" s="7">
        <f t="shared" ref="C75:G75" si="8">C69</f>
        <v>87600</v>
      </c>
      <c r="D75" s="7">
        <f t="shared" si="8"/>
        <v>87600</v>
      </c>
      <c r="E75" s="7">
        <f t="shared" si="8"/>
        <v>87600</v>
      </c>
      <c r="F75" s="7">
        <f t="shared" si="8"/>
        <v>70080</v>
      </c>
      <c r="G75" s="7">
        <f t="shared" si="8"/>
        <v>105120</v>
      </c>
      <c r="H75" s="7">
        <f t="shared" ref="H75:O75" si="9">H69</f>
        <v>43800</v>
      </c>
      <c r="I75" s="7">
        <f t="shared" si="9"/>
        <v>52560</v>
      </c>
      <c r="J75" s="7">
        <f t="shared" si="9"/>
        <v>52560</v>
      </c>
      <c r="K75" s="7">
        <f t="shared" si="9"/>
        <v>61319.999999999993</v>
      </c>
      <c r="L75" s="7">
        <f t="shared" si="9"/>
        <v>131400</v>
      </c>
      <c r="M75" s="7">
        <f t="shared" si="9"/>
        <v>122639.99999999999</v>
      </c>
      <c r="N75" s="7">
        <f t="shared" si="9"/>
        <v>140160</v>
      </c>
      <c r="O75" s="7">
        <f t="shared" si="9"/>
        <v>0</v>
      </c>
    </row>
    <row r="76" spans="2:16" outlineLevel="1" x14ac:dyDescent="0.35">
      <c r="B76" s="17" t="s">
        <v>83</v>
      </c>
      <c r="C76" s="18">
        <f>'Ilustrative Comparison Tool'!$C$24</f>
        <v>120</v>
      </c>
      <c r="D76" s="18">
        <f>'Ilustrative Comparison Tool'!$C$24</f>
        <v>120</v>
      </c>
      <c r="E76" s="18">
        <f>'Ilustrative Comparison Tool'!$C$24</f>
        <v>120</v>
      </c>
      <c r="F76" s="18">
        <f>'Ilustrative Comparison Tool'!$C$24</f>
        <v>120</v>
      </c>
      <c r="G76" s="18">
        <f>'Ilustrative Comparison Tool'!$C$24</f>
        <v>120</v>
      </c>
      <c r="H76" s="18">
        <f>'Ilustrative Comparison Tool'!$C$24</f>
        <v>120</v>
      </c>
      <c r="I76" s="18">
        <f>'Ilustrative Comparison Tool'!$C$24</f>
        <v>120</v>
      </c>
      <c r="J76" s="18">
        <f>'Ilustrative Comparison Tool'!$C$24</f>
        <v>120</v>
      </c>
      <c r="K76" s="18">
        <f>'Ilustrative Comparison Tool'!$C$24</f>
        <v>120</v>
      </c>
      <c r="L76" s="18">
        <f>'Ilustrative Comparison Tool'!$C$24</f>
        <v>120</v>
      </c>
      <c r="M76" s="18">
        <f>'Ilustrative Comparison Tool'!$C$24</f>
        <v>120</v>
      </c>
      <c r="N76" s="18">
        <f>'Ilustrative Comparison Tool'!$C$24</f>
        <v>120</v>
      </c>
      <c r="O76" s="18">
        <f>IF(SUM(E54:H54)=0,0,'Ilustrative Comparison Tool'!$C$24)</f>
        <v>0</v>
      </c>
    </row>
    <row r="77" spans="2:16" outlineLevel="1" x14ac:dyDescent="0.35">
      <c r="B77" s="17" t="s">
        <v>88</v>
      </c>
      <c r="C77" s="18">
        <f t="shared" ref="C77:G77" si="10">C76-C70</f>
        <v>0</v>
      </c>
      <c r="D77" s="18">
        <f t="shared" si="10"/>
        <v>24</v>
      </c>
      <c r="E77" s="18">
        <f t="shared" si="10"/>
        <v>-24</v>
      </c>
      <c r="F77" s="18">
        <f t="shared" si="10"/>
        <v>0</v>
      </c>
      <c r="G77" s="18">
        <f t="shared" si="10"/>
        <v>0</v>
      </c>
      <c r="H77" s="18">
        <f t="shared" ref="H77:N77" si="11">H76-H70</f>
        <v>36</v>
      </c>
      <c r="I77" s="18">
        <f t="shared" si="11"/>
        <v>-30</v>
      </c>
      <c r="J77" s="18">
        <f t="shared" si="11"/>
        <v>-24</v>
      </c>
      <c r="K77" s="18">
        <f t="shared" si="11"/>
        <v>-36</v>
      </c>
      <c r="L77" s="18">
        <f t="shared" si="11"/>
        <v>36</v>
      </c>
      <c r="M77" s="18">
        <f t="shared" si="11"/>
        <v>48</v>
      </c>
      <c r="N77" s="18">
        <f t="shared" si="11"/>
        <v>30</v>
      </c>
      <c r="O77" s="18">
        <f>IF(SUM(E54:H54)=0,0,O76-O70)</f>
        <v>0</v>
      </c>
    </row>
    <row r="78" spans="2:16" outlineLevel="1" x14ac:dyDescent="0.35">
      <c r="B78" s="17" t="s">
        <v>86</v>
      </c>
      <c r="C78" s="18">
        <f>C75*C77</f>
        <v>0</v>
      </c>
      <c r="D78" s="18">
        <f t="shared" ref="D78:G78" si="12">D75*D77</f>
        <v>2102400</v>
      </c>
      <c r="E78" s="18">
        <f t="shared" si="12"/>
        <v>-2102400</v>
      </c>
      <c r="F78" s="18">
        <f t="shared" si="12"/>
        <v>0</v>
      </c>
      <c r="G78" s="18">
        <f t="shared" si="12"/>
        <v>0</v>
      </c>
      <c r="H78" s="18">
        <f t="shared" ref="H78:I78" si="13">H75*H77</f>
        <v>1576800</v>
      </c>
      <c r="I78" s="18">
        <f t="shared" si="13"/>
        <v>-1576800</v>
      </c>
      <c r="J78" s="18">
        <f t="shared" ref="J78:L78" si="14">J75*J77</f>
        <v>-1261440</v>
      </c>
      <c r="K78" s="18">
        <f t="shared" si="14"/>
        <v>-2207519.9999999995</v>
      </c>
      <c r="L78" s="18">
        <f t="shared" si="14"/>
        <v>4730400</v>
      </c>
      <c r="M78" s="18">
        <f>M75*M77</f>
        <v>5886719.9999999991</v>
      </c>
      <c r="N78" s="18">
        <f>N75*N77</f>
        <v>4204800</v>
      </c>
      <c r="O78" s="18">
        <f t="shared" ref="O78" si="15">O75*O77</f>
        <v>0</v>
      </c>
    </row>
    <row r="79" spans="2:16" outlineLevel="1" x14ac:dyDescent="0.35">
      <c r="B79" s="29" t="s">
        <v>37</v>
      </c>
      <c r="C79" s="30">
        <f t="shared" ref="C79:G79" si="16">C78+C71</f>
        <v>10512000</v>
      </c>
      <c r="D79" s="30">
        <f t="shared" si="16"/>
        <v>10512000</v>
      </c>
      <c r="E79" s="30">
        <f t="shared" si="16"/>
        <v>10512000</v>
      </c>
      <c r="F79" s="30">
        <f t="shared" si="16"/>
        <v>8409600</v>
      </c>
      <c r="G79" s="30">
        <f t="shared" si="16"/>
        <v>12614400</v>
      </c>
      <c r="H79" s="30">
        <f t="shared" ref="H79:O79" si="17">H78+H71</f>
        <v>5256000</v>
      </c>
      <c r="I79" s="30">
        <f t="shared" si="17"/>
        <v>6307200</v>
      </c>
      <c r="J79" s="30">
        <f t="shared" si="17"/>
        <v>6307200</v>
      </c>
      <c r="K79" s="30">
        <f t="shared" si="17"/>
        <v>7358399.9999999981</v>
      </c>
      <c r="L79" s="30">
        <f t="shared" si="17"/>
        <v>15768000</v>
      </c>
      <c r="M79" s="30">
        <f t="shared" si="17"/>
        <v>14716799.999999996</v>
      </c>
      <c r="N79" s="30">
        <f t="shared" si="17"/>
        <v>16819200</v>
      </c>
      <c r="O79" s="30">
        <f t="shared" si="17"/>
        <v>0</v>
      </c>
    </row>
    <row r="80" spans="2:16" outlineLevel="1" x14ac:dyDescent="0.35">
      <c r="B80" s="17"/>
      <c r="C80" s="21"/>
      <c r="D80" s="19"/>
      <c r="E80" s="19"/>
      <c r="F80" s="19"/>
      <c r="G80" s="19"/>
      <c r="H80" s="19"/>
    </row>
    <row r="81" spans="2:15" outlineLevel="1" x14ac:dyDescent="0.35">
      <c r="B81" s="25" t="s">
        <v>22</v>
      </c>
      <c r="C81" s="21"/>
      <c r="D81" s="19"/>
      <c r="E81" s="19"/>
      <c r="F81" s="19"/>
      <c r="G81" s="19"/>
      <c r="H81" s="19"/>
    </row>
    <row r="82" spans="2:15" outlineLevel="1" x14ac:dyDescent="0.35">
      <c r="B82" s="17" t="s">
        <v>33</v>
      </c>
      <c r="C82" s="7">
        <f>'Ilustrative Comparison Tool'!$C$26</f>
        <v>87600</v>
      </c>
      <c r="D82" s="7">
        <f>'Ilustrative Comparison Tool'!$C$26</f>
        <v>87600</v>
      </c>
      <c r="E82" s="7">
        <f>'Ilustrative Comparison Tool'!$C$26</f>
        <v>87600</v>
      </c>
      <c r="F82" s="7">
        <f>'Ilustrative Comparison Tool'!$C$26</f>
        <v>87600</v>
      </c>
      <c r="G82" s="7">
        <f>'Ilustrative Comparison Tool'!$C$26</f>
        <v>87600</v>
      </c>
      <c r="H82" s="7">
        <f>'Ilustrative Comparison Tool'!$C$26</f>
        <v>87600</v>
      </c>
      <c r="I82" s="7">
        <f>'Ilustrative Comparison Tool'!$C$26</f>
        <v>87600</v>
      </c>
      <c r="J82" s="7">
        <f>'Ilustrative Comparison Tool'!$C$26</f>
        <v>87600</v>
      </c>
      <c r="K82" s="7">
        <f>'Ilustrative Comparison Tool'!$C$26</f>
        <v>87600</v>
      </c>
      <c r="L82" s="7">
        <f>'Ilustrative Comparison Tool'!$C$26</f>
        <v>87600</v>
      </c>
      <c r="M82" s="7">
        <f>'Ilustrative Comparison Tool'!$C$26</f>
        <v>87600</v>
      </c>
      <c r="N82" s="7">
        <f>'Ilustrative Comparison Tool'!$C$26</f>
        <v>87600</v>
      </c>
      <c r="O82" s="7" t="str">
        <f>IF(SUM(E54:H54)=0,"",'Ilustrative Comparison Tool'!$C$26)</f>
        <v/>
      </c>
    </row>
    <row r="83" spans="2:15" outlineLevel="1" x14ac:dyDescent="0.35">
      <c r="B83" s="17" t="s">
        <v>34</v>
      </c>
      <c r="C83" s="18">
        <f>'Ilustrative Comparison Tool'!$C$24</f>
        <v>120</v>
      </c>
      <c r="D83" s="18">
        <f>'Ilustrative Comparison Tool'!$C$24</f>
        <v>120</v>
      </c>
      <c r="E83" s="18">
        <f>'Ilustrative Comparison Tool'!$C$24</f>
        <v>120</v>
      </c>
      <c r="F83" s="18">
        <f>'Ilustrative Comparison Tool'!$C$24</f>
        <v>120</v>
      </c>
      <c r="G83" s="18">
        <f>'Ilustrative Comparison Tool'!$C$24</f>
        <v>120</v>
      </c>
      <c r="H83" s="18">
        <f>'Ilustrative Comparison Tool'!$C$24</f>
        <v>120</v>
      </c>
      <c r="I83" s="18">
        <f>'Ilustrative Comparison Tool'!$C$24</f>
        <v>120</v>
      </c>
      <c r="J83" s="18">
        <f>'Ilustrative Comparison Tool'!$C$24</f>
        <v>120</v>
      </c>
      <c r="K83" s="18">
        <f>'Ilustrative Comparison Tool'!$C$24</f>
        <v>120</v>
      </c>
      <c r="L83" s="18">
        <f>'Ilustrative Comparison Tool'!$C$24</f>
        <v>120</v>
      </c>
      <c r="M83" s="18">
        <f>'Ilustrative Comparison Tool'!$C$24</f>
        <v>120</v>
      </c>
      <c r="N83" s="18">
        <f>'Ilustrative Comparison Tool'!$C$24</f>
        <v>120</v>
      </c>
      <c r="O83" s="18">
        <f>IF(SUM(E54:H54)=0,0,'Ilustrative Comparison Tool'!$C$24)</f>
        <v>0</v>
      </c>
    </row>
    <row r="84" spans="2:15" outlineLevel="1" x14ac:dyDescent="0.35">
      <c r="B84" s="17" t="s">
        <v>35</v>
      </c>
      <c r="C84" s="18">
        <f t="shared" ref="C84:G84" si="18">C83-C61</f>
        <v>0</v>
      </c>
      <c r="D84" s="18">
        <f t="shared" si="18"/>
        <v>0</v>
      </c>
      <c r="E84" s="18">
        <f t="shared" si="18"/>
        <v>0</v>
      </c>
      <c r="F84" s="18">
        <f t="shared" si="18"/>
        <v>0</v>
      </c>
      <c r="G84" s="18">
        <f t="shared" si="18"/>
        <v>0</v>
      </c>
      <c r="H84" s="18">
        <f t="shared" ref="H84:N84" si="19">H83-H61</f>
        <v>0</v>
      </c>
      <c r="I84" s="18">
        <f t="shared" si="19"/>
        <v>-30</v>
      </c>
      <c r="J84" s="18">
        <f t="shared" si="19"/>
        <v>-36</v>
      </c>
      <c r="K84" s="18">
        <f t="shared" si="19"/>
        <v>-24</v>
      </c>
      <c r="L84" s="18">
        <f t="shared" si="19"/>
        <v>36</v>
      </c>
      <c r="M84" s="18">
        <f t="shared" si="19"/>
        <v>36</v>
      </c>
      <c r="N84" s="18">
        <f t="shared" si="19"/>
        <v>36</v>
      </c>
      <c r="O84" s="18">
        <f>IF(SUM(E54:H54)=0,0,O83-O61)</f>
        <v>0</v>
      </c>
    </row>
    <row r="85" spans="2:15" outlineLevel="1" x14ac:dyDescent="0.35">
      <c r="B85" s="17" t="s">
        <v>36</v>
      </c>
      <c r="C85" s="18">
        <f t="shared" ref="C85" si="20">C82*C84</f>
        <v>0</v>
      </c>
      <c r="D85" s="18">
        <f t="shared" ref="D85" si="21">D82*D84</f>
        <v>0</v>
      </c>
      <c r="E85" s="18">
        <f t="shared" ref="E85" si="22">E82*E84</f>
        <v>0</v>
      </c>
      <c r="F85" s="18">
        <f t="shared" ref="F85" si="23">F82*F84</f>
        <v>0</v>
      </c>
      <c r="G85" s="18">
        <f t="shared" ref="G85" si="24">G82*G84</f>
        <v>0</v>
      </c>
      <c r="H85" s="18">
        <f>H82*H84</f>
        <v>0</v>
      </c>
      <c r="I85" s="18">
        <f t="shared" ref="I85" si="25">I82*I84</f>
        <v>-2628000</v>
      </c>
      <c r="J85" s="18">
        <f>J82*J84</f>
        <v>-3153600</v>
      </c>
      <c r="K85" s="18">
        <f t="shared" ref="K85:L85" si="26">K82*K84</f>
        <v>-2102400</v>
      </c>
      <c r="L85" s="18">
        <f t="shared" si="26"/>
        <v>3153600</v>
      </c>
      <c r="M85" s="18">
        <f t="shared" ref="M85" si="27">M82*M84</f>
        <v>3153600</v>
      </c>
      <c r="N85" s="18">
        <f t="shared" ref="N85" si="28">N82*N84</f>
        <v>3153600</v>
      </c>
      <c r="O85" s="18">
        <f>IF(SUM(E54:H54)=0,0,O82*O84)</f>
        <v>0</v>
      </c>
    </row>
    <row r="86" spans="2:15" outlineLevel="1" x14ac:dyDescent="0.35">
      <c r="B86" s="29" t="s">
        <v>38</v>
      </c>
      <c r="C86" s="30">
        <f t="shared" ref="C86:G86" si="29">C71+C85</f>
        <v>10512000</v>
      </c>
      <c r="D86" s="30">
        <f t="shared" si="29"/>
        <v>8409600</v>
      </c>
      <c r="E86" s="30">
        <f t="shared" si="29"/>
        <v>12614400</v>
      </c>
      <c r="F86" s="30">
        <f t="shared" si="29"/>
        <v>8409600</v>
      </c>
      <c r="G86" s="30">
        <f t="shared" si="29"/>
        <v>12614400</v>
      </c>
      <c r="H86" s="30">
        <f t="shared" ref="H86:O86" si="30">H71+H85</f>
        <v>3679200</v>
      </c>
      <c r="I86" s="30">
        <f t="shared" si="30"/>
        <v>5256000</v>
      </c>
      <c r="J86" s="30">
        <f t="shared" si="30"/>
        <v>4415040</v>
      </c>
      <c r="K86" s="30">
        <f t="shared" si="30"/>
        <v>7463519.9999999981</v>
      </c>
      <c r="L86" s="30">
        <f t="shared" si="30"/>
        <v>14191200</v>
      </c>
      <c r="M86" s="30">
        <f t="shared" si="30"/>
        <v>11983679.999999998</v>
      </c>
      <c r="N86" s="30">
        <f t="shared" si="30"/>
        <v>15768000</v>
      </c>
      <c r="O86" s="30">
        <f t="shared" si="30"/>
        <v>0</v>
      </c>
    </row>
    <row r="87" spans="2:15" outlineLevel="1" x14ac:dyDescent="0.35">
      <c r="C87" s="23"/>
    </row>
    <row r="88" spans="2:15" outlineLevel="1" x14ac:dyDescent="0.35">
      <c r="B88" s="25" t="s">
        <v>25</v>
      </c>
      <c r="C88" s="23"/>
    </row>
    <row r="89" spans="2:15" outlineLevel="1" x14ac:dyDescent="0.35">
      <c r="B89" s="17" t="s">
        <v>39</v>
      </c>
      <c r="C89" s="18">
        <f t="shared" ref="C89:G89" si="31">C63</f>
        <v>105120</v>
      </c>
      <c r="D89" s="18">
        <f t="shared" si="31"/>
        <v>105120</v>
      </c>
      <c r="E89" s="18">
        <f t="shared" si="31"/>
        <v>105120</v>
      </c>
      <c r="F89" s="18">
        <f t="shared" si="31"/>
        <v>105120</v>
      </c>
      <c r="G89" s="18">
        <f t="shared" si="31"/>
        <v>105120</v>
      </c>
      <c r="H89" s="18">
        <f t="shared" ref="H89:N89" si="32">H63</f>
        <v>105120</v>
      </c>
      <c r="I89" s="18">
        <f t="shared" si="32"/>
        <v>78840</v>
      </c>
      <c r="J89" s="18">
        <f t="shared" si="32"/>
        <v>95659.199999999997</v>
      </c>
      <c r="K89" s="18">
        <f t="shared" si="32"/>
        <v>75686.399999999994</v>
      </c>
      <c r="L89" s="18">
        <f t="shared" si="32"/>
        <v>110376</v>
      </c>
      <c r="M89" s="18">
        <f t="shared" si="32"/>
        <v>110376</v>
      </c>
      <c r="N89" s="18">
        <f t="shared" si="32"/>
        <v>110376</v>
      </c>
      <c r="O89" s="18">
        <f>IF(SUM(E54:H54)=0,0,O63)</f>
        <v>0</v>
      </c>
    </row>
    <row r="90" spans="2:15" outlineLevel="1" x14ac:dyDescent="0.35">
      <c r="B90" s="17" t="s">
        <v>40</v>
      </c>
      <c r="C90" s="18">
        <f>'Ilustrative Comparison Tool'!$C$31</f>
        <v>105120</v>
      </c>
      <c r="D90" s="18">
        <f>'Ilustrative Comparison Tool'!$C$31</f>
        <v>105120</v>
      </c>
      <c r="E90" s="18">
        <f>'Ilustrative Comparison Tool'!$C$31</f>
        <v>105120</v>
      </c>
      <c r="F90" s="18">
        <f>'Ilustrative Comparison Tool'!$C$31</f>
        <v>105120</v>
      </c>
      <c r="G90" s="18">
        <f>'Ilustrative Comparison Tool'!$C$31</f>
        <v>105120</v>
      </c>
      <c r="H90" s="18">
        <f>'Ilustrative Comparison Tool'!$C$31</f>
        <v>105120</v>
      </c>
      <c r="I90" s="18">
        <f>'Ilustrative Comparison Tool'!$C$31</f>
        <v>105120</v>
      </c>
      <c r="J90" s="18">
        <f>'Ilustrative Comparison Tool'!$C$31</f>
        <v>105120</v>
      </c>
      <c r="K90" s="18">
        <f>'Ilustrative Comparison Tool'!$C$31</f>
        <v>105120</v>
      </c>
      <c r="L90" s="18">
        <f>'Ilustrative Comparison Tool'!$C$31</f>
        <v>105120</v>
      </c>
      <c r="M90" s="18">
        <f>'Ilustrative Comparison Tool'!$C$31</f>
        <v>105120</v>
      </c>
      <c r="N90" s="18">
        <f>'Ilustrative Comparison Tool'!$C$31</f>
        <v>105120</v>
      </c>
      <c r="O90" s="18">
        <f>IF(SUM(E54:H54)=0,0,'Ilustrative Comparison Tool'!$C$31)</f>
        <v>0</v>
      </c>
    </row>
    <row r="91" spans="2:15" outlineLevel="1" x14ac:dyDescent="0.35">
      <c r="B91" s="17" t="s">
        <v>41</v>
      </c>
      <c r="C91" s="18">
        <f>C90-C89</f>
        <v>0</v>
      </c>
      <c r="D91" s="18">
        <f t="shared" ref="D91" si="33">D90-D89</f>
        <v>0</v>
      </c>
      <c r="E91" s="18">
        <f t="shared" ref="E91" si="34">E90-E89</f>
        <v>0</v>
      </c>
      <c r="F91" s="18">
        <f t="shared" ref="F91" si="35">F90-F89</f>
        <v>0</v>
      </c>
      <c r="G91" s="18">
        <f t="shared" ref="G91" si="36">G90-G89</f>
        <v>0</v>
      </c>
      <c r="H91" s="18">
        <f t="shared" ref="H91:I91" si="37">H90-H89</f>
        <v>0</v>
      </c>
      <c r="I91" s="18">
        <f t="shared" si="37"/>
        <v>26280</v>
      </c>
      <c r="J91" s="18">
        <f t="shared" ref="J91" si="38">J90-J89</f>
        <v>9460.8000000000029</v>
      </c>
      <c r="K91" s="18">
        <f t="shared" ref="K91:L91" si="39">K90-K89</f>
        <v>29433.600000000006</v>
      </c>
      <c r="L91" s="18">
        <f t="shared" si="39"/>
        <v>-5256</v>
      </c>
      <c r="M91" s="18">
        <f t="shared" ref="M91" si="40">M90-M89</f>
        <v>-5256</v>
      </c>
      <c r="N91" s="18">
        <f t="shared" ref="N91" si="41">N90-N89</f>
        <v>-5256</v>
      </c>
      <c r="O91" s="18">
        <f t="shared" ref="O91" si="42">O90-O89</f>
        <v>0</v>
      </c>
    </row>
    <row r="92" spans="2:15" outlineLevel="1" x14ac:dyDescent="0.35">
      <c r="B92" s="17" t="s">
        <v>42</v>
      </c>
      <c r="C92" s="18">
        <f>C91*'Ilustrative Comparison Tool'!$C$30</f>
        <v>0</v>
      </c>
      <c r="D92" s="18">
        <f>D91*'Ilustrative Comparison Tool'!$C$30</f>
        <v>0</v>
      </c>
      <c r="E92" s="18">
        <f>E91*'Ilustrative Comparison Tool'!$C$30</f>
        <v>0</v>
      </c>
      <c r="F92" s="18">
        <f>F91*'Ilustrative Comparison Tool'!$C$30</f>
        <v>0</v>
      </c>
      <c r="G92" s="18">
        <f>G91*'Ilustrative Comparison Tool'!$C$30</f>
        <v>0</v>
      </c>
      <c r="H92" s="18">
        <f>H91*'Ilustrative Comparison Tool'!$C$30</f>
        <v>0</v>
      </c>
      <c r="I92" s="18">
        <f>I91*'Ilustrative Comparison Tool'!$C$30</f>
        <v>2628000</v>
      </c>
      <c r="J92" s="18">
        <f>J91*'Ilustrative Comparison Tool'!$C$30</f>
        <v>946080.00000000023</v>
      </c>
      <c r="K92" s="18">
        <f>K91*'Ilustrative Comparison Tool'!$C$30</f>
        <v>2943360.0000000005</v>
      </c>
      <c r="L92" s="18">
        <f>L91*'Ilustrative Comparison Tool'!$C$30</f>
        <v>-525600</v>
      </c>
      <c r="M92" s="18">
        <f>M91*'Ilustrative Comparison Tool'!$C$30</f>
        <v>-525600</v>
      </c>
      <c r="N92" s="18">
        <f>N91*'Ilustrative Comparison Tool'!$C$30</f>
        <v>-525600</v>
      </c>
      <c r="O92" s="18">
        <f>O91*'Ilustrative Comparison Tool'!$C$30</f>
        <v>0</v>
      </c>
    </row>
    <row r="93" spans="2:15" outlineLevel="1" x14ac:dyDescent="0.35">
      <c r="B93" s="29" t="s">
        <v>43</v>
      </c>
      <c r="C93" s="30">
        <f t="shared" ref="C93:G93" si="43">C71+C92</f>
        <v>10512000</v>
      </c>
      <c r="D93" s="30">
        <f t="shared" si="43"/>
        <v>8409600</v>
      </c>
      <c r="E93" s="30">
        <f t="shared" si="43"/>
        <v>12614400</v>
      </c>
      <c r="F93" s="30">
        <f t="shared" si="43"/>
        <v>8409600</v>
      </c>
      <c r="G93" s="30">
        <f t="shared" si="43"/>
        <v>12614400</v>
      </c>
      <c r="H93" s="30">
        <f t="shared" ref="H93:O93" si="44">H71+H92</f>
        <v>3679200</v>
      </c>
      <c r="I93" s="30">
        <f t="shared" si="44"/>
        <v>10512000</v>
      </c>
      <c r="J93" s="30">
        <f t="shared" si="44"/>
        <v>8514720</v>
      </c>
      <c r="K93" s="30">
        <f t="shared" si="44"/>
        <v>12509279.999999998</v>
      </c>
      <c r="L93" s="30">
        <f t="shared" si="44"/>
        <v>10512000</v>
      </c>
      <c r="M93" s="30">
        <f t="shared" si="44"/>
        <v>8304479.9999999981</v>
      </c>
      <c r="N93" s="30">
        <f t="shared" si="44"/>
        <v>12088800</v>
      </c>
      <c r="O93" s="30">
        <f t="shared" si="44"/>
        <v>0</v>
      </c>
    </row>
    <row r="94" spans="2:15" outlineLevel="1" x14ac:dyDescent="0.35">
      <c r="C94" s="23"/>
    </row>
    <row r="95" spans="2:15" outlineLevel="1" x14ac:dyDescent="0.35">
      <c r="B95" s="25" t="s">
        <v>54</v>
      </c>
      <c r="C95" s="23"/>
    </row>
    <row r="96" spans="2:15" outlineLevel="1" x14ac:dyDescent="0.35">
      <c r="B96" s="17" t="s">
        <v>33</v>
      </c>
      <c r="C96" s="7">
        <f>C60*'Ilustrative Comparison Tool'!$C$35</f>
        <v>87600</v>
      </c>
      <c r="D96" s="7">
        <f>D60*'Ilustrative Comparison Tool'!$C$35</f>
        <v>87600</v>
      </c>
      <c r="E96" s="7">
        <f>E60*'Ilustrative Comparison Tool'!$C$35</f>
        <v>87600</v>
      </c>
      <c r="F96" s="7">
        <f>F60*'Ilustrative Comparison Tool'!$C$35</f>
        <v>87600</v>
      </c>
      <c r="G96" s="7">
        <f>G60*'Ilustrative Comparison Tool'!$C$35</f>
        <v>87600</v>
      </c>
      <c r="H96" s="7">
        <f>H60*'Ilustrative Comparison Tool'!$C$35</f>
        <v>87600</v>
      </c>
      <c r="I96" s="7">
        <f>I60*'Ilustrative Comparison Tool'!$C$35</f>
        <v>52560</v>
      </c>
      <c r="J96" s="7">
        <f>J60*'Ilustrative Comparison Tool'!$C$35</f>
        <v>61320.000000000007</v>
      </c>
      <c r="K96" s="7">
        <f>K60*'Ilustrative Comparison Tool'!$C$35</f>
        <v>52560</v>
      </c>
      <c r="L96" s="7">
        <f>L60*'Ilustrative Comparison Tool'!$C$35</f>
        <v>131400</v>
      </c>
      <c r="M96" s="7">
        <f>M60*'Ilustrative Comparison Tool'!$C$35</f>
        <v>131400</v>
      </c>
      <c r="N96" s="7">
        <f>N60*'Ilustrative Comparison Tool'!$C$35</f>
        <v>131400</v>
      </c>
      <c r="O96" s="7">
        <f>IF(SUM(E54:H54)=0,0,O60*'Ilustrative Comparison Tool'!$C$35)</f>
        <v>0</v>
      </c>
    </row>
    <row r="97" spans="2:16" outlineLevel="1" x14ac:dyDescent="0.35">
      <c r="B97" s="17" t="s">
        <v>44</v>
      </c>
      <c r="C97" s="18">
        <f>'Ilustrative Comparison Tool'!$C$36</f>
        <v>120</v>
      </c>
      <c r="D97" s="18">
        <f>'Ilustrative Comparison Tool'!$C$36</f>
        <v>120</v>
      </c>
      <c r="E97" s="18">
        <f>'Ilustrative Comparison Tool'!$C$36</f>
        <v>120</v>
      </c>
      <c r="F97" s="18">
        <f>'Ilustrative Comparison Tool'!$C$36</f>
        <v>120</v>
      </c>
      <c r="G97" s="18">
        <f>'Ilustrative Comparison Tool'!$C$36</f>
        <v>120</v>
      </c>
      <c r="H97" s="18">
        <f>'Ilustrative Comparison Tool'!$C$36</f>
        <v>120</v>
      </c>
      <c r="I97" s="18">
        <f>'Ilustrative Comparison Tool'!$C$36</f>
        <v>120</v>
      </c>
      <c r="J97" s="18">
        <f>'Ilustrative Comparison Tool'!$C$36</f>
        <v>120</v>
      </c>
      <c r="K97" s="18">
        <f>'Ilustrative Comparison Tool'!$C$36</f>
        <v>120</v>
      </c>
      <c r="L97" s="18">
        <f>'Ilustrative Comparison Tool'!$C$36</f>
        <v>120</v>
      </c>
      <c r="M97" s="18">
        <f>'Ilustrative Comparison Tool'!$C$36</f>
        <v>120</v>
      </c>
      <c r="N97" s="18">
        <f>'Ilustrative Comparison Tool'!$C$36</f>
        <v>120</v>
      </c>
      <c r="O97" s="18">
        <f>IF(SUM(E54:H54)=0,0,'Ilustrative Comparison Tool'!$C$36)</f>
        <v>0</v>
      </c>
    </row>
    <row r="98" spans="2:16" outlineLevel="1" x14ac:dyDescent="0.35">
      <c r="B98" s="17" t="s">
        <v>35</v>
      </c>
      <c r="C98" s="18">
        <f t="shared" ref="C98:G98" si="45">C97-C61</f>
        <v>0</v>
      </c>
      <c r="D98" s="18">
        <f t="shared" si="45"/>
        <v>0</v>
      </c>
      <c r="E98" s="18">
        <f t="shared" si="45"/>
        <v>0</v>
      </c>
      <c r="F98" s="18">
        <f t="shared" si="45"/>
        <v>0</v>
      </c>
      <c r="G98" s="18">
        <f t="shared" si="45"/>
        <v>0</v>
      </c>
      <c r="H98" s="18">
        <f t="shared" ref="H98:O98" si="46">H97-H61</f>
        <v>0</v>
      </c>
      <c r="I98" s="18">
        <f t="shared" si="46"/>
        <v>-30</v>
      </c>
      <c r="J98" s="18">
        <f t="shared" si="46"/>
        <v>-36</v>
      </c>
      <c r="K98" s="18">
        <f t="shared" si="46"/>
        <v>-24</v>
      </c>
      <c r="L98" s="18">
        <f t="shared" si="46"/>
        <v>36</v>
      </c>
      <c r="M98" s="18">
        <f t="shared" si="46"/>
        <v>36</v>
      </c>
      <c r="N98" s="18">
        <f t="shared" si="46"/>
        <v>36</v>
      </c>
      <c r="O98" s="18">
        <f t="shared" si="46"/>
        <v>0</v>
      </c>
    </row>
    <row r="99" spans="2:16" outlineLevel="1" x14ac:dyDescent="0.35">
      <c r="B99" s="17" t="s">
        <v>56</v>
      </c>
      <c r="C99" s="18">
        <f>C96*C98</f>
        <v>0</v>
      </c>
      <c r="D99" s="18">
        <f>D96*D98</f>
        <v>0</v>
      </c>
      <c r="E99" s="18">
        <f t="shared" ref="E99:G99" si="47">E96*E98</f>
        <v>0</v>
      </c>
      <c r="F99" s="18">
        <f t="shared" si="47"/>
        <v>0</v>
      </c>
      <c r="G99" s="18">
        <f t="shared" si="47"/>
        <v>0</v>
      </c>
      <c r="H99" s="18">
        <f t="shared" ref="H99:I99" si="48">H96*H98</f>
        <v>0</v>
      </c>
      <c r="I99" s="18">
        <f t="shared" si="48"/>
        <v>-1576800</v>
      </c>
      <c r="J99" s="18">
        <f>J96*J98</f>
        <v>-2207520.0000000005</v>
      </c>
      <c r="K99" s="18">
        <f t="shared" ref="K99" si="49">K96*K98</f>
        <v>-1261440</v>
      </c>
      <c r="L99" s="18">
        <f t="shared" ref="L99" si="50">L96*L98</f>
        <v>4730400</v>
      </c>
      <c r="M99" s="18">
        <f>M96*M98</f>
        <v>4730400</v>
      </c>
      <c r="N99" s="18">
        <f>N96*N98</f>
        <v>4730400</v>
      </c>
      <c r="O99" s="18">
        <f t="shared" ref="O99" si="51">O96*O98</f>
        <v>0</v>
      </c>
    </row>
    <row r="100" spans="2:16" outlineLevel="1" x14ac:dyDescent="0.35">
      <c r="B100" s="29" t="s">
        <v>45</v>
      </c>
      <c r="C100" s="30">
        <f t="shared" ref="C100:G100" si="52">C71+C99</f>
        <v>10512000</v>
      </c>
      <c r="D100" s="30">
        <f t="shared" si="52"/>
        <v>8409600</v>
      </c>
      <c r="E100" s="30">
        <f t="shared" si="52"/>
        <v>12614400</v>
      </c>
      <c r="F100" s="30">
        <f t="shared" si="52"/>
        <v>8409600</v>
      </c>
      <c r="G100" s="30">
        <f t="shared" si="52"/>
        <v>12614400</v>
      </c>
      <c r="H100" s="30">
        <f t="shared" ref="H100:O100" si="53">H71+H99</f>
        <v>3679200</v>
      </c>
      <c r="I100" s="30">
        <f t="shared" si="53"/>
        <v>6307200</v>
      </c>
      <c r="J100" s="30">
        <f t="shared" si="53"/>
        <v>5361120</v>
      </c>
      <c r="K100" s="30">
        <f t="shared" si="53"/>
        <v>8304479.9999999981</v>
      </c>
      <c r="L100" s="30">
        <f t="shared" si="53"/>
        <v>15768000</v>
      </c>
      <c r="M100" s="30">
        <f t="shared" si="53"/>
        <v>13560479.999999998</v>
      </c>
      <c r="N100" s="30">
        <f t="shared" si="53"/>
        <v>17344800</v>
      </c>
      <c r="O100" s="30">
        <f t="shared" si="53"/>
        <v>0</v>
      </c>
    </row>
    <row r="101" spans="2:16" outlineLevel="1" x14ac:dyDescent="0.35"/>
    <row r="102" spans="2:16" ht="17.5" thickBot="1" x14ac:dyDescent="0.4">
      <c r="B102" s="27" t="s">
        <v>46</v>
      </c>
      <c r="C102" s="26"/>
      <c r="D102" s="26"/>
      <c r="E102" s="26"/>
      <c r="F102" s="26"/>
      <c r="G102" s="26"/>
      <c r="H102" s="26"/>
      <c r="I102" s="26"/>
      <c r="J102" s="31"/>
      <c r="K102" s="31"/>
      <c r="L102" s="31"/>
      <c r="M102" s="31"/>
      <c r="N102" s="31"/>
      <c r="O102" s="31"/>
      <c r="P102" s="31"/>
    </row>
    <row r="103" spans="2:16" ht="15" outlineLevel="1" thickTop="1" x14ac:dyDescent="0.35"/>
    <row r="104" spans="2:16" ht="51.65" customHeight="1" outlineLevel="1" x14ac:dyDescent="0.35">
      <c r="B104" s="52" t="s">
        <v>119</v>
      </c>
      <c r="C104" s="47" t="str">
        <f>C67</f>
        <v>Base Case</v>
      </c>
      <c r="D104" s="47" t="str">
        <f t="shared" ref="D104:G104" si="54">D67</f>
        <v xml:space="preserve">Scenario 1: Project DWAP &lt; Reference DWAP </v>
      </c>
      <c r="E104" s="47" t="str">
        <f t="shared" si="54"/>
        <v>Scenario 2: Project DWAP &gt; Reference DWAP</v>
      </c>
      <c r="F104" s="47" t="str">
        <f t="shared" si="54"/>
        <v>Scenario 3: Project Volume &lt; Reference Volume</v>
      </c>
      <c r="G104" s="47" t="str">
        <f t="shared" si="54"/>
        <v>Scenario 4: Project Volume &gt;  Reference Volume</v>
      </c>
      <c r="H104" s="47" t="str">
        <f t="shared" ref="H104:O104" si="55">H67</f>
        <v>Scenario 5: FM Event</v>
      </c>
      <c r="I104" s="47" t="str">
        <f t="shared" si="55"/>
        <v>Senario 6: VRE Drought</v>
      </c>
      <c r="J104" s="47" t="str">
        <f t="shared" si="55"/>
        <v>Scenario 7: VRE drought, project underperforms</v>
      </c>
      <c r="K104" s="47" t="str">
        <f t="shared" si="55"/>
        <v>Scenario 8: VRE drought, project overperforms</v>
      </c>
      <c r="L104" s="47" t="str">
        <f t="shared" si="55"/>
        <v>Scenario 9: VRE oversupply</v>
      </c>
      <c r="M104" s="47" t="str">
        <f t="shared" si="55"/>
        <v>Scenario 10: VRE oversupply, project underperforms</v>
      </c>
      <c r="N104" s="47" t="str">
        <f t="shared" si="55"/>
        <v>Scenario 11: VRE oversupply, project overperforms</v>
      </c>
      <c r="O104" s="47" t="str">
        <f t="shared" si="55"/>
        <v>Scenario 12: Blank</v>
      </c>
    </row>
    <row r="105" spans="2:16" outlineLevel="1" x14ac:dyDescent="0.35">
      <c r="C105" s="29"/>
      <c r="D105" s="29"/>
      <c r="E105" s="29"/>
      <c r="F105" s="29"/>
      <c r="G105" s="29"/>
      <c r="H105" s="29"/>
      <c r="I105" s="29"/>
      <c r="J105" s="29"/>
      <c r="K105" s="29"/>
      <c r="L105" s="29"/>
      <c r="M105" s="29"/>
      <c r="N105" s="29"/>
      <c r="O105" s="29"/>
    </row>
    <row r="106" spans="2:16" outlineLevel="1" x14ac:dyDescent="0.35">
      <c r="B106" s="25" t="s">
        <v>94</v>
      </c>
      <c r="C106" s="22"/>
      <c r="D106" s="20"/>
      <c r="E106" s="20"/>
      <c r="F106" s="20"/>
      <c r="G106" s="20"/>
      <c r="H106" s="20"/>
      <c r="I106" s="20"/>
      <c r="J106" s="20"/>
      <c r="K106" s="20"/>
      <c r="L106" s="20"/>
      <c r="M106" s="20"/>
      <c r="N106" s="20"/>
      <c r="O106" s="20"/>
    </row>
    <row r="107" spans="2:16" outlineLevel="1" x14ac:dyDescent="0.35">
      <c r="B107" s="17" t="s">
        <v>47</v>
      </c>
      <c r="C107" s="7">
        <f t="shared" ref="C107:N107" si="56">$C$69</f>
        <v>87600</v>
      </c>
      <c r="D107" s="7">
        <f t="shared" si="56"/>
        <v>87600</v>
      </c>
      <c r="E107" s="7">
        <f t="shared" si="56"/>
        <v>87600</v>
      </c>
      <c r="F107" s="7">
        <f t="shared" si="56"/>
        <v>87600</v>
      </c>
      <c r="G107" s="7">
        <f t="shared" si="56"/>
        <v>87600</v>
      </c>
      <c r="H107" s="7">
        <f t="shared" si="56"/>
        <v>87600</v>
      </c>
      <c r="I107" s="7">
        <f t="shared" si="56"/>
        <v>87600</v>
      </c>
      <c r="J107" s="7">
        <f t="shared" si="56"/>
        <v>87600</v>
      </c>
      <c r="K107" s="7">
        <f t="shared" si="56"/>
        <v>87600</v>
      </c>
      <c r="L107" s="7">
        <f t="shared" si="56"/>
        <v>87600</v>
      </c>
      <c r="M107" s="7">
        <f t="shared" si="56"/>
        <v>87600</v>
      </c>
      <c r="N107" s="7">
        <f t="shared" si="56"/>
        <v>87600</v>
      </c>
      <c r="O107" s="32">
        <f>IF(SUM(E54:H54)=0,0,$C$69)</f>
        <v>0</v>
      </c>
    </row>
    <row r="108" spans="2:16" outlineLevel="1" x14ac:dyDescent="0.35">
      <c r="B108" s="17" t="s">
        <v>48</v>
      </c>
      <c r="C108" s="18">
        <f t="shared" ref="C108:G108" si="57">C61</f>
        <v>120</v>
      </c>
      <c r="D108" s="18">
        <f t="shared" si="57"/>
        <v>120</v>
      </c>
      <c r="E108" s="18">
        <f t="shared" si="57"/>
        <v>120</v>
      </c>
      <c r="F108" s="18">
        <f t="shared" si="57"/>
        <v>120</v>
      </c>
      <c r="G108" s="18">
        <f t="shared" si="57"/>
        <v>120</v>
      </c>
      <c r="H108" s="18">
        <f t="shared" ref="H108:O108" si="58">H61</f>
        <v>120</v>
      </c>
      <c r="I108" s="18">
        <f t="shared" si="58"/>
        <v>150</v>
      </c>
      <c r="J108" s="18">
        <f t="shared" si="58"/>
        <v>156</v>
      </c>
      <c r="K108" s="18">
        <f t="shared" si="58"/>
        <v>144</v>
      </c>
      <c r="L108" s="18">
        <f t="shared" si="58"/>
        <v>84</v>
      </c>
      <c r="M108" s="18">
        <f t="shared" si="58"/>
        <v>84</v>
      </c>
      <c r="N108" s="18">
        <f t="shared" si="58"/>
        <v>84</v>
      </c>
      <c r="O108" s="33">
        <f t="shared" si="58"/>
        <v>0</v>
      </c>
    </row>
    <row r="109" spans="2:16" outlineLevel="1" x14ac:dyDescent="0.35">
      <c r="B109" s="17" t="s">
        <v>49</v>
      </c>
      <c r="C109" s="18">
        <f>C107*C108*-1</f>
        <v>-10512000</v>
      </c>
      <c r="D109" s="18">
        <f t="shared" ref="D109:G109" si="59">D107*D108*-1</f>
        <v>-10512000</v>
      </c>
      <c r="E109" s="18">
        <f t="shared" si="59"/>
        <v>-10512000</v>
      </c>
      <c r="F109" s="18">
        <f t="shared" si="59"/>
        <v>-10512000</v>
      </c>
      <c r="G109" s="18">
        <f t="shared" si="59"/>
        <v>-10512000</v>
      </c>
      <c r="H109" s="18">
        <f t="shared" ref="H109:I109" si="60">H107*H108*-1</f>
        <v>-10512000</v>
      </c>
      <c r="I109" s="18">
        <f t="shared" si="60"/>
        <v>-13140000</v>
      </c>
      <c r="J109" s="18">
        <f>J107*J108*-1</f>
        <v>-13665600</v>
      </c>
      <c r="K109" s="18">
        <f>K107*K108*-1</f>
        <v>-12614400</v>
      </c>
      <c r="L109" s="18">
        <f>L107*L108*-1</f>
        <v>-7358400</v>
      </c>
      <c r="M109" s="18">
        <f>M107*M108*-1</f>
        <v>-7358400</v>
      </c>
      <c r="N109" s="18">
        <f>N107*N108*-1</f>
        <v>-7358400</v>
      </c>
      <c r="O109" s="33">
        <f t="shared" ref="O109" si="61">O107*O108*-1</f>
        <v>0</v>
      </c>
    </row>
    <row r="110" spans="2:16" outlineLevel="1" x14ac:dyDescent="0.35">
      <c r="B110" s="17" t="s">
        <v>50</v>
      </c>
      <c r="C110" s="18">
        <v>0</v>
      </c>
      <c r="D110" s="18"/>
      <c r="E110" s="18"/>
      <c r="F110" s="18"/>
      <c r="G110" s="18"/>
      <c r="H110" s="18"/>
      <c r="I110" s="18"/>
      <c r="J110" s="18"/>
      <c r="K110" s="18"/>
      <c r="L110" s="18"/>
      <c r="M110" s="18"/>
      <c r="N110" s="18"/>
      <c r="O110" s="33"/>
    </row>
    <row r="111" spans="2:16" outlineLevel="1" x14ac:dyDescent="0.35">
      <c r="B111" s="17" t="s">
        <v>51</v>
      </c>
      <c r="C111" s="30">
        <f>C109+C110</f>
        <v>-10512000</v>
      </c>
      <c r="D111" s="30">
        <f>(D109+D110)</f>
        <v>-10512000</v>
      </c>
      <c r="E111" s="30">
        <f t="shared" ref="E111:G111" si="62">(E109+E110)</f>
        <v>-10512000</v>
      </c>
      <c r="F111" s="30">
        <f t="shared" si="62"/>
        <v>-10512000</v>
      </c>
      <c r="G111" s="30">
        <f t="shared" si="62"/>
        <v>-10512000</v>
      </c>
      <c r="H111" s="30">
        <f t="shared" ref="H111:O111" si="63">(H109+H110)</f>
        <v>-10512000</v>
      </c>
      <c r="I111" s="30">
        <f t="shared" si="63"/>
        <v>-13140000</v>
      </c>
      <c r="J111" s="30">
        <f t="shared" si="63"/>
        <v>-13665600</v>
      </c>
      <c r="K111" s="30">
        <f t="shared" si="63"/>
        <v>-12614400</v>
      </c>
      <c r="L111" s="30">
        <f t="shared" si="63"/>
        <v>-7358400</v>
      </c>
      <c r="M111" s="30">
        <f t="shared" si="63"/>
        <v>-7358400</v>
      </c>
      <c r="N111" s="30">
        <f t="shared" si="63"/>
        <v>-7358400</v>
      </c>
      <c r="O111" s="30">
        <f t="shared" si="63"/>
        <v>0</v>
      </c>
    </row>
    <row r="112" spans="2:16" outlineLevel="1" x14ac:dyDescent="0.35"/>
    <row r="113" spans="2:15" outlineLevel="1" x14ac:dyDescent="0.35">
      <c r="B113" s="34" t="s">
        <v>78</v>
      </c>
    </row>
    <row r="114" spans="2:15" outlineLevel="1" x14ac:dyDescent="0.35">
      <c r="B114" s="17" t="s">
        <v>89</v>
      </c>
      <c r="C114" s="32">
        <f>C75</f>
        <v>87600</v>
      </c>
      <c r="D114" s="32">
        <f t="shared" ref="D114:G114" si="64">D75</f>
        <v>87600</v>
      </c>
      <c r="E114" s="32">
        <f t="shared" si="64"/>
        <v>87600</v>
      </c>
      <c r="F114" s="32">
        <f t="shared" si="64"/>
        <v>70080</v>
      </c>
      <c r="G114" s="32">
        <f t="shared" si="64"/>
        <v>105120</v>
      </c>
      <c r="H114" s="32">
        <f t="shared" ref="H114:O116" si="65">H75</f>
        <v>43800</v>
      </c>
      <c r="I114" s="32">
        <f t="shared" si="65"/>
        <v>52560</v>
      </c>
      <c r="J114" s="32">
        <f t="shared" si="65"/>
        <v>52560</v>
      </c>
      <c r="K114" s="32">
        <f t="shared" si="65"/>
        <v>61319.999999999993</v>
      </c>
      <c r="L114" s="32">
        <f t="shared" si="65"/>
        <v>131400</v>
      </c>
      <c r="M114" s="32">
        <f t="shared" si="65"/>
        <v>122639.99999999999</v>
      </c>
      <c r="N114" s="32">
        <f t="shared" si="65"/>
        <v>140160</v>
      </c>
      <c r="O114" s="32">
        <f t="shared" si="65"/>
        <v>0</v>
      </c>
    </row>
    <row r="115" spans="2:15" outlineLevel="1" x14ac:dyDescent="0.35">
      <c r="B115" s="17" t="s">
        <v>83</v>
      </c>
      <c r="C115" s="33">
        <f>C76</f>
        <v>120</v>
      </c>
      <c r="D115" s="33">
        <f t="shared" ref="D115:G115" si="66">D76</f>
        <v>120</v>
      </c>
      <c r="E115" s="33">
        <f t="shared" si="66"/>
        <v>120</v>
      </c>
      <c r="F115" s="33">
        <f t="shared" si="66"/>
        <v>120</v>
      </c>
      <c r="G115" s="33">
        <f t="shared" si="66"/>
        <v>120</v>
      </c>
      <c r="H115" s="33">
        <f t="shared" si="65"/>
        <v>120</v>
      </c>
      <c r="I115" s="33">
        <f t="shared" si="65"/>
        <v>120</v>
      </c>
      <c r="J115" s="33">
        <f t="shared" si="65"/>
        <v>120</v>
      </c>
      <c r="K115" s="33">
        <f t="shared" si="65"/>
        <v>120</v>
      </c>
      <c r="L115" s="33">
        <f t="shared" si="65"/>
        <v>120</v>
      </c>
      <c r="M115" s="33">
        <f t="shared" si="65"/>
        <v>120</v>
      </c>
      <c r="N115" s="33">
        <f t="shared" si="65"/>
        <v>120</v>
      </c>
      <c r="O115" s="33">
        <f t="shared" si="65"/>
        <v>0</v>
      </c>
    </row>
    <row r="116" spans="2:15" outlineLevel="1" x14ac:dyDescent="0.35">
      <c r="B116" s="17" t="s">
        <v>88</v>
      </c>
      <c r="C116" s="33">
        <f>C77</f>
        <v>0</v>
      </c>
      <c r="D116" s="33">
        <f t="shared" ref="D116:G116" si="67">D77</f>
        <v>24</v>
      </c>
      <c r="E116" s="33">
        <f t="shared" si="67"/>
        <v>-24</v>
      </c>
      <c r="F116" s="33">
        <f t="shared" si="67"/>
        <v>0</v>
      </c>
      <c r="G116" s="33">
        <f t="shared" si="67"/>
        <v>0</v>
      </c>
      <c r="H116" s="33">
        <f t="shared" si="65"/>
        <v>36</v>
      </c>
      <c r="I116" s="33">
        <f t="shared" si="65"/>
        <v>-30</v>
      </c>
      <c r="J116" s="33">
        <f t="shared" si="65"/>
        <v>-24</v>
      </c>
      <c r="K116" s="33">
        <f t="shared" si="65"/>
        <v>-36</v>
      </c>
      <c r="L116" s="33">
        <f t="shared" si="65"/>
        <v>36</v>
      </c>
      <c r="M116" s="33">
        <f t="shared" si="65"/>
        <v>48</v>
      </c>
      <c r="N116" s="33">
        <f t="shared" si="65"/>
        <v>30</v>
      </c>
      <c r="O116" s="33">
        <f t="shared" si="65"/>
        <v>0</v>
      </c>
    </row>
    <row r="117" spans="2:15" outlineLevel="1" x14ac:dyDescent="0.35">
      <c r="B117" s="17" t="s">
        <v>49</v>
      </c>
      <c r="C117" s="33">
        <f>C109</f>
        <v>-10512000</v>
      </c>
      <c r="D117" s="33">
        <f t="shared" ref="D117:G117" si="68">D109</f>
        <v>-10512000</v>
      </c>
      <c r="E117" s="33">
        <f t="shared" si="68"/>
        <v>-10512000</v>
      </c>
      <c r="F117" s="33">
        <f t="shared" si="68"/>
        <v>-10512000</v>
      </c>
      <c r="G117" s="33">
        <f t="shared" si="68"/>
        <v>-10512000</v>
      </c>
      <c r="H117" s="33">
        <f t="shared" ref="H117:O117" si="69">H109</f>
        <v>-10512000</v>
      </c>
      <c r="I117" s="33">
        <f t="shared" si="69"/>
        <v>-13140000</v>
      </c>
      <c r="J117" s="33">
        <f t="shared" si="69"/>
        <v>-13665600</v>
      </c>
      <c r="K117" s="33">
        <f t="shared" si="69"/>
        <v>-12614400</v>
      </c>
      <c r="L117" s="33">
        <f t="shared" si="69"/>
        <v>-7358400</v>
      </c>
      <c r="M117" s="33">
        <f t="shared" si="69"/>
        <v>-7358400</v>
      </c>
      <c r="N117" s="33">
        <f t="shared" si="69"/>
        <v>-7358400</v>
      </c>
      <c r="O117" s="33">
        <f t="shared" si="69"/>
        <v>0</v>
      </c>
    </row>
    <row r="118" spans="2:15" outlineLevel="1" x14ac:dyDescent="0.35">
      <c r="B118" s="17" t="s">
        <v>86</v>
      </c>
      <c r="C118" s="33">
        <f t="shared" ref="C118:G118" si="70">-C78</f>
        <v>0</v>
      </c>
      <c r="D118" s="33">
        <f t="shared" si="70"/>
        <v>-2102400</v>
      </c>
      <c r="E118" s="33">
        <f t="shared" si="70"/>
        <v>2102400</v>
      </c>
      <c r="F118" s="33">
        <f t="shared" si="70"/>
        <v>0</v>
      </c>
      <c r="G118" s="33">
        <f t="shared" si="70"/>
        <v>0</v>
      </c>
      <c r="H118" s="33">
        <f t="shared" ref="H118:O118" si="71">-H78</f>
        <v>-1576800</v>
      </c>
      <c r="I118" s="33">
        <f t="shared" si="71"/>
        <v>1576800</v>
      </c>
      <c r="J118" s="33">
        <f t="shared" si="71"/>
        <v>1261440</v>
      </c>
      <c r="K118" s="33">
        <f t="shared" si="71"/>
        <v>2207519.9999999995</v>
      </c>
      <c r="L118" s="33">
        <f t="shared" si="71"/>
        <v>-4730400</v>
      </c>
      <c r="M118" s="33">
        <f t="shared" si="71"/>
        <v>-5886719.9999999991</v>
      </c>
      <c r="N118" s="33">
        <f t="shared" si="71"/>
        <v>-4204800</v>
      </c>
      <c r="O118" s="33">
        <f t="shared" si="71"/>
        <v>0</v>
      </c>
    </row>
    <row r="119" spans="2:15" outlineLevel="1" x14ac:dyDescent="0.35">
      <c r="B119" s="29" t="s">
        <v>87</v>
      </c>
      <c r="C119" s="24">
        <f>C117+C118</f>
        <v>-10512000</v>
      </c>
      <c r="D119" s="24">
        <f t="shared" ref="D119:G119" si="72">D117+D118</f>
        <v>-12614400</v>
      </c>
      <c r="E119" s="24">
        <f t="shared" si="72"/>
        <v>-8409600</v>
      </c>
      <c r="F119" s="24">
        <f t="shared" si="72"/>
        <v>-10512000</v>
      </c>
      <c r="G119" s="24">
        <f t="shared" si="72"/>
        <v>-10512000</v>
      </c>
      <c r="H119" s="24">
        <f t="shared" ref="H119:O119" si="73">H117+H118</f>
        <v>-12088800</v>
      </c>
      <c r="I119" s="24">
        <f t="shared" si="73"/>
        <v>-11563200</v>
      </c>
      <c r="J119" s="24">
        <f t="shared" si="73"/>
        <v>-12404160</v>
      </c>
      <c r="K119" s="24">
        <f t="shared" si="73"/>
        <v>-10406880</v>
      </c>
      <c r="L119" s="24">
        <f t="shared" si="73"/>
        <v>-12088800</v>
      </c>
      <c r="M119" s="24">
        <f t="shared" si="73"/>
        <v>-13245120</v>
      </c>
      <c r="N119" s="24">
        <f t="shared" si="73"/>
        <v>-11563200</v>
      </c>
      <c r="O119" s="24">
        <f t="shared" si="73"/>
        <v>0</v>
      </c>
    </row>
    <row r="120" spans="2:15" outlineLevel="1" x14ac:dyDescent="0.35"/>
    <row r="121" spans="2:15" outlineLevel="1" x14ac:dyDescent="0.35">
      <c r="B121" s="34" t="s">
        <v>22</v>
      </c>
      <c r="C121" s="19"/>
      <c r="D121" s="19"/>
      <c r="E121" s="19"/>
      <c r="F121" s="19"/>
      <c r="G121" s="19"/>
      <c r="H121" s="19"/>
      <c r="I121" s="19"/>
      <c r="J121" s="19"/>
      <c r="K121" s="19"/>
      <c r="L121" s="19"/>
      <c r="M121" s="19"/>
      <c r="N121" s="19"/>
      <c r="O121" s="19"/>
    </row>
    <row r="122" spans="2:15" outlineLevel="1" x14ac:dyDescent="0.35">
      <c r="B122" s="17" t="s">
        <v>47</v>
      </c>
      <c r="C122" s="7">
        <f>'Ilustrative Comparison Tool'!$C$26</f>
        <v>87600</v>
      </c>
      <c r="D122" s="7">
        <f>'Ilustrative Comparison Tool'!$C$26</f>
        <v>87600</v>
      </c>
      <c r="E122" s="7">
        <f>'Ilustrative Comparison Tool'!$C$26</f>
        <v>87600</v>
      </c>
      <c r="F122" s="7">
        <f>'Ilustrative Comparison Tool'!$C$26</f>
        <v>87600</v>
      </c>
      <c r="G122" s="7">
        <f>'Ilustrative Comparison Tool'!$C$26</f>
        <v>87600</v>
      </c>
      <c r="H122" s="7">
        <f>'Ilustrative Comparison Tool'!$C$26</f>
        <v>87600</v>
      </c>
      <c r="I122" s="7">
        <f>'Ilustrative Comparison Tool'!$C$26</f>
        <v>87600</v>
      </c>
      <c r="J122" s="7">
        <f>'Ilustrative Comparison Tool'!$C$26</f>
        <v>87600</v>
      </c>
      <c r="K122" s="7">
        <f>'Ilustrative Comparison Tool'!$C$26</f>
        <v>87600</v>
      </c>
      <c r="L122" s="7">
        <f>'Ilustrative Comparison Tool'!$C$26</f>
        <v>87600</v>
      </c>
      <c r="M122" s="7">
        <f>'Ilustrative Comparison Tool'!$C$26</f>
        <v>87600</v>
      </c>
      <c r="N122" s="7">
        <f>'Ilustrative Comparison Tool'!$C$26</f>
        <v>87600</v>
      </c>
      <c r="O122" s="32">
        <f>IF(SUM(E54:H54)=0,0,'Ilustrative Comparison Tool'!$C$26)</f>
        <v>0</v>
      </c>
    </row>
    <row r="123" spans="2:15" outlineLevel="1" x14ac:dyDescent="0.35">
      <c r="B123" s="17" t="s">
        <v>48</v>
      </c>
      <c r="C123" s="18">
        <f>C108</f>
        <v>120</v>
      </c>
      <c r="D123" s="18">
        <f t="shared" ref="D123:G123" si="74">D108</f>
        <v>120</v>
      </c>
      <c r="E123" s="18">
        <f t="shared" si="74"/>
        <v>120</v>
      </c>
      <c r="F123" s="18">
        <f t="shared" si="74"/>
        <v>120</v>
      </c>
      <c r="G123" s="18">
        <f t="shared" si="74"/>
        <v>120</v>
      </c>
      <c r="H123" s="18">
        <f t="shared" ref="H123:I123" si="75">H108</f>
        <v>120</v>
      </c>
      <c r="I123" s="18">
        <f t="shared" si="75"/>
        <v>150</v>
      </c>
      <c r="J123" s="18">
        <f>J108</f>
        <v>156</v>
      </c>
      <c r="K123" s="18">
        <f>K108</f>
        <v>144</v>
      </c>
      <c r="L123" s="18">
        <f>L108</f>
        <v>84</v>
      </c>
      <c r="M123" s="18">
        <f>M108</f>
        <v>84</v>
      </c>
      <c r="N123" s="18">
        <f>N108</f>
        <v>84</v>
      </c>
      <c r="O123" s="33">
        <f t="shared" ref="O123" si="76">O108</f>
        <v>0</v>
      </c>
    </row>
    <row r="124" spans="2:15" outlineLevel="1" x14ac:dyDescent="0.35">
      <c r="B124" s="17" t="s">
        <v>49</v>
      </c>
      <c r="C124" s="18">
        <f>C122*C123*-1</f>
        <v>-10512000</v>
      </c>
      <c r="D124" s="18">
        <f t="shared" ref="D124" si="77">D122*D123*-1</f>
        <v>-10512000</v>
      </c>
      <c r="E124" s="18">
        <f t="shared" ref="E124" si="78">E122*E123*-1</f>
        <v>-10512000</v>
      </c>
      <c r="F124" s="18">
        <f t="shared" ref="F124" si="79">F122*F123*-1</f>
        <v>-10512000</v>
      </c>
      <c r="G124" s="18">
        <f t="shared" ref="G124" si="80">G122*G123*-1</f>
        <v>-10512000</v>
      </c>
      <c r="H124" s="18">
        <f>H122*H123*-1</f>
        <v>-10512000</v>
      </c>
      <c r="I124" s="18">
        <f t="shared" ref="I124" si="81">I122*I123*-1</f>
        <v>-13140000</v>
      </c>
      <c r="J124" s="18">
        <f t="shared" ref="J124" si="82">J122*J123*-1</f>
        <v>-13665600</v>
      </c>
      <c r="K124" s="18">
        <f t="shared" ref="K124" si="83">K122*K123*-1</f>
        <v>-12614400</v>
      </c>
      <c r="L124" s="18">
        <f t="shared" ref="L124" si="84">L122*L123*-1</f>
        <v>-7358400</v>
      </c>
      <c r="M124" s="18">
        <f t="shared" ref="M124" si="85">M122*M123*-1</f>
        <v>-7358400</v>
      </c>
      <c r="N124" s="18">
        <f t="shared" ref="N124:O124" si="86">N122*N123*-1</f>
        <v>-7358400</v>
      </c>
      <c r="O124" s="33">
        <f t="shared" si="86"/>
        <v>0</v>
      </c>
    </row>
    <row r="125" spans="2:15" outlineLevel="1" x14ac:dyDescent="0.35">
      <c r="B125" s="17" t="s">
        <v>50</v>
      </c>
      <c r="C125" s="18">
        <f t="shared" ref="C125:G125" si="87">-1*C85</f>
        <v>0</v>
      </c>
      <c r="D125" s="18">
        <f t="shared" si="87"/>
        <v>0</v>
      </c>
      <c r="E125" s="18">
        <f t="shared" si="87"/>
        <v>0</v>
      </c>
      <c r="F125" s="18">
        <f t="shared" si="87"/>
        <v>0</v>
      </c>
      <c r="G125" s="18">
        <f t="shared" si="87"/>
        <v>0</v>
      </c>
      <c r="H125" s="18">
        <f t="shared" ref="H125:O125" si="88">-1*H85</f>
        <v>0</v>
      </c>
      <c r="I125" s="18">
        <f t="shared" si="88"/>
        <v>2628000</v>
      </c>
      <c r="J125" s="18">
        <f t="shared" si="88"/>
        <v>3153600</v>
      </c>
      <c r="K125" s="18">
        <f t="shared" si="88"/>
        <v>2102400</v>
      </c>
      <c r="L125" s="18">
        <f t="shared" si="88"/>
        <v>-3153600</v>
      </c>
      <c r="M125" s="18">
        <f t="shared" si="88"/>
        <v>-3153600</v>
      </c>
      <c r="N125" s="18">
        <f t="shared" si="88"/>
        <v>-3153600</v>
      </c>
      <c r="O125" s="33">
        <f t="shared" si="88"/>
        <v>0</v>
      </c>
    </row>
    <row r="126" spans="2:15" outlineLevel="1" x14ac:dyDescent="0.35">
      <c r="B126" s="17" t="s">
        <v>52</v>
      </c>
      <c r="C126" s="30">
        <f>C125+C124</f>
        <v>-10512000</v>
      </c>
      <c r="D126" s="30">
        <f>(D124+D125)</f>
        <v>-10512000</v>
      </c>
      <c r="E126" s="30">
        <f t="shared" ref="E126:G126" si="89">(E124+E125)</f>
        <v>-10512000</v>
      </c>
      <c r="F126" s="30">
        <f t="shared" si="89"/>
        <v>-10512000</v>
      </c>
      <c r="G126" s="30">
        <f t="shared" si="89"/>
        <v>-10512000</v>
      </c>
      <c r="H126" s="30">
        <f t="shared" ref="H126:O126" si="90">(H124+H125)</f>
        <v>-10512000</v>
      </c>
      <c r="I126" s="30">
        <f t="shared" si="90"/>
        <v>-10512000</v>
      </c>
      <c r="J126" s="30">
        <f t="shared" si="90"/>
        <v>-10512000</v>
      </c>
      <c r="K126" s="30">
        <f t="shared" si="90"/>
        <v>-10512000</v>
      </c>
      <c r="L126" s="30">
        <f t="shared" si="90"/>
        <v>-10512000</v>
      </c>
      <c r="M126" s="30">
        <f t="shared" si="90"/>
        <v>-10512000</v>
      </c>
      <c r="N126" s="30">
        <f t="shared" si="90"/>
        <v>-10512000</v>
      </c>
      <c r="O126" s="30">
        <f t="shared" si="90"/>
        <v>0</v>
      </c>
    </row>
    <row r="127" spans="2:15" outlineLevel="1" x14ac:dyDescent="0.35"/>
    <row r="128" spans="2:15" outlineLevel="1" x14ac:dyDescent="0.35">
      <c r="B128" s="25" t="s">
        <v>25</v>
      </c>
    </row>
    <row r="129" spans="2:15" outlineLevel="1" x14ac:dyDescent="0.35">
      <c r="B129" s="17" t="s">
        <v>47</v>
      </c>
      <c r="C129" s="7">
        <f>C122</f>
        <v>87600</v>
      </c>
      <c r="D129" s="7">
        <f t="shared" ref="D129:G129" si="91">D122</f>
        <v>87600</v>
      </c>
      <c r="E129" s="7">
        <f t="shared" si="91"/>
        <v>87600</v>
      </c>
      <c r="F129" s="7">
        <f t="shared" si="91"/>
        <v>87600</v>
      </c>
      <c r="G129" s="7">
        <f t="shared" si="91"/>
        <v>87600</v>
      </c>
      <c r="H129" s="7">
        <f>'Ilustrative Comparison Tool'!$C$26</f>
        <v>87600</v>
      </c>
      <c r="I129" s="7">
        <f>'Ilustrative Comparison Tool'!$C$26</f>
        <v>87600</v>
      </c>
      <c r="J129" s="7">
        <f t="shared" ref="J129:N129" si="92">J122</f>
        <v>87600</v>
      </c>
      <c r="K129" s="7">
        <f t="shared" si="92"/>
        <v>87600</v>
      </c>
      <c r="L129" s="7">
        <f t="shared" si="92"/>
        <v>87600</v>
      </c>
      <c r="M129" s="7">
        <f t="shared" si="92"/>
        <v>87600</v>
      </c>
      <c r="N129" s="7">
        <f t="shared" si="92"/>
        <v>87600</v>
      </c>
      <c r="O129" s="32">
        <f t="shared" ref="O129" si="93">O122</f>
        <v>0</v>
      </c>
    </row>
    <row r="130" spans="2:15" outlineLevel="1" x14ac:dyDescent="0.35">
      <c r="B130" s="17" t="s">
        <v>48</v>
      </c>
      <c r="C130" s="18">
        <f>C123</f>
        <v>120</v>
      </c>
      <c r="D130" s="18">
        <f t="shared" ref="D130:N130" si="94">D123</f>
        <v>120</v>
      </c>
      <c r="E130" s="18">
        <f t="shared" si="94"/>
        <v>120</v>
      </c>
      <c r="F130" s="18">
        <f t="shared" si="94"/>
        <v>120</v>
      </c>
      <c r="G130" s="18">
        <f t="shared" si="94"/>
        <v>120</v>
      </c>
      <c r="H130" s="18">
        <f t="shared" si="94"/>
        <v>120</v>
      </c>
      <c r="I130" s="18">
        <f t="shared" si="94"/>
        <v>150</v>
      </c>
      <c r="J130" s="18">
        <f t="shared" si="94"/>
        <v>156</v>
      </c>
      <c r="K130" s="18">
        <f t="shared" si="94"/>
        <v>144</v>
      </c>
      <c r="L130" s="18">
        <f t="shared" si="94"/>
        <v>84</v>
      </c>
      <c r="M130" s="18">
        <f t="shared" si="94"/>
        <v>84</v>
      </c>
      <c r="N130" s="18">
        <f t="shared" si="94"/>
        <v>84</v>
      </c>
      <c r="O130" s="33">
        <f t="shared" ref="O130" si="95">O123</f>
        <v>0</v>
      </c>
    </row>
    <row r="131" spans="2:15" outlineLevel="1" x14ac:dyDescent="0.35">
      <c r="B131" s="17" t="s">
        <v>49</v>
      </c>
      <c r="C131" s="18">
        <f>C129*C130*-1</f>
        <v>-10512000</v>
      </c>
      <c r="D131" s="18">
        <f t="shared" ref="D131" si="96">D129*D130*-1</f>
        <v>-10512000</v>
      </c>
      <c r="E131" s="18">
        <f t="shared" ref="E131" si="97">E129*E130*-1</f>
        <v>-10512000</v>
      </c>
      <c r="F131" s="18">
        <f t="shared" ref="F131" si="98">F129*F130*-1</f>
        <v>-10512000</v>
      </c>
      <c r="G131" s="18">
        <f t="shared" ref="G131" si="99">G129*G130*-1</f>
        <v>-10512000</v>
      </c>
      <c r="H131" s="18">
        <f>H129*H130*-1</f>
        <v>-10512000</v>
      </c>
      <c r="I131" s="18">
        <f>I129*I130*-1</f>
        <v>-13140000</v>
      </c>
      <c r="J131" s="18">
        <f t="shared" ref="J131" si="100">J129*J130*-1</f>
        <v>-13665600</v>
      </c>
      <c r="K131" s="18">
        <f t="shared" ref="K131" si="101">K129*K130*-1</f>
        <v>-12614400</v>
      </c>
      <c r="L131" s="18">
        <f t="shared" ref="L131" si="102">L129*L130*-1</f>
        <v>-7358400</v>
      </c>
      <c r="M131" s="18">
        <f t="shared" ref="M131" si="103">M129*M130*-1</f>
        <v>-7358400</v>
      </c>
      <c r="N131" s="18">
        <f t="shared" ref="N131:O131" si="104">N129*N130*-1</f>
        <v>-7358400</v>
      </c>
      <c r="O131" s="33">
        <f t="shared" si="104"/>
        <v>0</v>
      </c>
    </row>
    <row r="132" spans="2:15" outlineLevel="1" x14ac:dyDescent="0.35">
      <c r="B132" s="17" t="s">
        <v>50</v>
      </c>
      <c r="C132" s="18">
        <f t="shared" ref="C132:G132" si="105">-1*C92</f>
        <v>0</v>
      </c>
      <c r="D132" s="18">
        <f t="shared" si="105"/>
        <v>0</v>
      </c>
      <c r="E132" s="18">
        <f t="shared" si="105"/>
        <v>0</v>
      </c>
      <c r="F132" s="18">
        <f t="shared" si="105"/>
        <v>0</v>
      </c>
      <c r="G132" s="18">
        <f t="shared" si="105"/>
        <v>0</v>
      </c>
      <c r="H132" s="18">
        <f t="shared" ref="H132:O132" si="106">-1*H92</f>
        <v>0</v>
      </c>
      <c r="I132" s="18">
        <f t="shared" si="106"/>
        <v>-2628000</v>
      </c>
      <c r="J132" s="18">
        <f t="shared" si="106"/>
        <v>-946080.00000000023</v>
      </c>
      <c r="K132" s="18">
        <f t="shared" si="106"/>
        <v>-2943360.0000000005</v>
      </c>
      <c r="L132" s="18">
        <f t="shared" si="106"/>
        <v>525600</v>
      </c>
      <c r="M132" s="18">
        <f t="shared" si="106"/>
        <v>525600</v>
      </c>
      <c r="N132" s="18">
        <f t="shared" si="106"/>
        <v>525600</v>
      </c>
      <c r="O132" s="33">
        <f t="shared" si="106"/>
        <v>0</v>
      </c>
    </row>
    <row r="133" spans="2:15" outlineLevel="1" x14ac:dyDescent="0.35">
      <c r="B133" s="17" t="s">
        <v>53</v>
      </c>
      <c r="C133" s="30">
        <f>C132+C131</f>
        <v>-10512000</v>
      </c>
      <c r="D133" s="30">
        <f>(D131+D132)</f>
        <v>-10512000</v>
      </c>
      <c r="E133" s="30">
        <f t="shared" ref="E133:G133" si="107">(E131+E132)</f>
        <v>-10512000</v>
      </c>
      <c r="F133" s="30">
        <f t="shared" si="107"/>
        <v>-10512000</v>
      </c>
      <c r="G133" s="30">
        <f t="shared" si="107"/>
        <v>-10512000</v>
      </c>
      <c r="H133" s="30">
        <f t="shared" ref="H133:O133" si="108">(H131+H132)</f>
        <v>-10512000</v>
      </c>
      <c r="I133" s="30">
        <f t="shared" si="108"/>
        <v>-15768000</v>
      </c>
      <c r="J133" s="30">
        <f t="shared" si="108"/>
        <v>-14611680</v>
      </c>
      <c r="K133" s="30">
        <f t="shared" si="108"/>
        <v>-15557760</v>
      </c>
      <c r="L133" s="30">
        <f t="shared" si="108"/>
        <v>-6832800</v>
      </c>
      <c r="M133" s="30">
        <f t="shared" si="108"/>
        <v>-6832800</v>
      </c>
      <c r="N133" s="30">
        <f t="shared" si="108"/>
        <v>-6832800</v>
      </c>
      <c r="O133" s="30">
        <f t="shared" si="108"/>
        <v>0</v>
      </c>
    </row>
    <row r="134" spans="2:15" outlineLevel="1" x14ac:dyDescent="0.35"/>
    <row r="135" spans="2:15" outlineLevel="1" x14ac:dyDescent="0.35">
      <c r="B135" s="25" t="s">
        <v>54</v>
      </c>
    </row>
    <row r="136" spans="2:15" outlineLevel="1" x14ac:dyDescent="0.35">
      <c r="B136" s="17" t="s">
        <v>47</v>
      </c>
      <c r="C136" s="7">
        <f>C129</f>
        <v>87600</v>
      </c>
      <c r="D136" s="7">
        <f t="shared" ref="D136:G136" si="109">D129</f>
        <v>87600</v>
      </c>
      <c r="E136" s="7">
        <f t="shared" si="109"/>
        <v>87600</v>
      </c>
      <c r="F136" s="7">
        <f t="shared" si="109"/>
        <v>87600</v>
      </c>
      <c r="G136" s="7">
        <f t="shared" si="109"/>
        <v>87600</v>
      </c>
      <c r="H136" s="7">
        <f t="shared" ref="H136:I136" si="110">H129</f>
        <v>87600</v>
      </c>
      <c r="I136" s="7">
        <f t="shared" si="110"/>
        <v>87600</v>
      </c>
      <c r="J136" s="7">
        <f t="shared" ref="J136:N137" si="111">J129</f>
        <v>87600</v>
      </c>
      <c r="K136" s="7">
        <f t="shared" si="111"/>
        <v>87600</v>
      </c>
      <c r="L136" s="7">
        <f t="shared" si="111"/>
        <v>87600</v>
      </c>
      <c r="M136" s="7">
        <f t="shared" si="111"/>
        <v>87600</v>
      </c>
      <c r="N136" s="7">
        <f t="shared" si="111"/>
        <v>87600</v>
      </c>
      <c r="O136" s="32">
        <f t="shared" ref="O136" si="112">O129</f>
        <v>0</v>
      </c>
    </row>
    <row r="137" spans="2:15" outlineLevel="1" x14ac:dyDescent="0.35">
      <c r="B137" s="17" t="s">
        <v>48</v>
      </c>
      <c r="C137" s="18">
        <f>C130</f>
        <v>120</v>
      </c>
      <c r="D137" s="18">
        <f t="shared" ref="D137:G137" si="113">D130</f>
        <v>120</v>
      </c>
      <c r="E137" s="18">
        <f t="shared" si="113"/>
        <v>120</v>
      </c>
      <c r="F137" s="18">
        <f t="shared" si="113"/>
        <v>120</v>
      </c>
      <c r="G137" s="18">
        <f t="shared" si="113"/>
        <v>120</v>
      </c>
      <c r="H137" s="18">
        <f t="shared" ref="H137:I137" si="114">H130</f>
        <v>120</v>
      </c>
      <c r="I137" s="18">
        <f t="shared" si="114"/>
        <v>150</v>
      </c>
      <c r="J137" s="18">
        <f t="shared" si="111"/>
        <v>156</v>
      </c>
      <c r="K137" s="18">
        <f t="shared" si="111"/>
        <v>144</v>
      </c>
      <c r="L137" s="18">
        <f t="shared" si="111"/>
        <v>84</v>
      </c>
      <c r="M137" s="18">
        <f t="shared" si="111"/>
        <v>84</v>
      </c>
      <c r="N137" s="18">
        <f t="shared" si="111"/>
        <v>84</v>
      </c>
      <c r="O137" s="33">
        <f t="shared" ref="O137" si="115">O130</f>
        <v>0</v>
      </c>
    </row>
    <row r="138" spans="2:15" outlineLevel="1" x14ac:dyDescent="0.35">
      <c r="B138" s="17" t="s">
        <v>49</v>
      </c>
      <c r="C138" s="18">
        <f>C136*C137*-1</f>
        <v>-10512000</v>
      </c>
      <c r="D138" s="18">
        <f t="shared" ref="D138" si="116">D136*D137*-1</f>
        <v>-10512000</v>
      </c>
      <c r="E138" s="18">
        <f t="shared" ref="E138" si="117">E136*E137*-1</f>
        <v>-10512000</v>
      </c>
      <c r="F138" s="18">
        <f t="shared" ref="F138" si="118">F136*F137*-1</f>
        <v>-10512000</v>
      </c>
      <c r="G138" s="18">
        <f t="shared" ref="G138" si="119">G136*G137*-1</f>
        <v>-10512000</v>
      </c>
      <c r="H138" s="18">
        <f>H136*H137*-1</f>
        <v>-10512000</v>
      </c>
      <c r="I138" s="18">
        <f t="shared" ref="I138" si="120">I136*I137*-1</f>
        <v>-13140000</v>
      </c>
      <c r="J138" s="18">
        <f t="shared" ref="J138" si="121">J136*J137*-1</f>
        <v>-13665600</v>
      </c>
      <c r="K138" s="18">
        <f t="shared" ref="K138" si="122">K136*K137*-1</f>
        <v>-12614400</v>
      </c>
      <c r="L138" s="18">
        <f t="shared" ref="L138" si="123">L136*L137*-1</f>
        <v>-7358400</v>
      </c>
      <c r="M138" s="18">
        <f t="shared" ref="M138" si="124">M136*M137*-1</f>
        <v>-7358400</v>
      </c>
      <c r="N138" s="18">
        <f t="shared" ref="N138:O138" si="125">N136*N137*-1</f>
        <v>-7358400</v>
      </c>
      <c r="O138" s="33">
        <f t="shared" si="125"/>
        <v>0</v>
      </c>
    </row>
    <row r="139" spans="2:15" outlineLevel="1" x14ac:dyDescent="0.35">
      <c r="B139" s="17" t="s">
        <v>50</v>
      </c>
      <c r="C139" s="18">
        <f t="shared" ref="C139:G139" si="126">-1*C99</f>
        <v>0</v>
      </c>
      <c r="D139" s="18">
        <f t="shared" si="126"/>
        <v>0</v>
      </c>
      <c r="E139" s="18">
        <f t="shared" si="126"/>
        <v>0</v>
      </c>
      <c r="F139" s="18">
        <f t="shared" si="126"/>
        <v>0</v>
      </c>
      <c r="G139" s="18">
        <f t="shared" si="126"/>
        <v>0</v>
      </c>
      <c r="H139" s="18">
        <f t="shared" ref="H139:O139" si="127">-1*H99</f>
        <v>0</v>
      </c>
      <c r="I139" s="18">
        <f t="shared" si="127"/>
        <v>1576800</v>
      </c>
      <c r="J139" s="18">
        <f t="shared" si="127"/>
        <v>2207520.0000000005</v>
      </c>
      <c r="K139" s="18">
        <f t="shared" si="127"/>
        <v>1261440</v>
      </c>
      <c r="L139" s="18">
        <f t="shared" si="127"/>
        <v>-4730400</v>
      </c>
      <c r="M139" s="18">
        <f t="shared" si="127"/>
        <v>-4730400</v>
      </c>
      <c r="N139" s="18">
        <f t="shared" si="127"/>
        <v>-4730400</v>
      </c>
      <c r="O139" s="33">
        <f t="shared" si="127"/>
        <v>0</v>
      </c>
    </row>
    <row r="140" spans="2:15" outlineLevel="1" x14ac:dyDescent="0.35">
      <c r="B140" s="17" t="s">
        <v>55</v>
      </c>
      <c r="C140" s="30">
        <f>C139+C138</f>
        <v>-10512000</v>
      </c>
      <c r="D140" s="30">
        <f>(D138+D139)</f>
        <v>-10512000</v>
      </c>
      <c r="E140" s="30">
        <f t="shared" ref="E140:G140" si="128">(E138+E139)</f>
        <v>-10512000</v>
      </c>
      <c r="F140" s="30">
        <f t="shared" si="128"/>
        <v>-10512000</v>
      </c>
      <c r="G140" s="30">
        <f t="shared" si="128"/>
        <v>-10512000</v>
      </c>
      <c r="H140" s="30">
        <f t="shared" ref="H140:O140" si="129">(H138+H139)</f>
        <v>-10512000</v>
      </c>
      <c r="I140" s="30">
        <f t="shared" si="129"/>
        <v>-11563200</v>
      </c>
      <c r="J140" s="30">
        <f t="shared" si="129"/>
        <v>-11458080</v>
      </c>
      <c r="K140" s="30">
        <f t="shared" si="129"/>
        <v>-11352960</v>
      </c>
      <c r="L140" s="30">
        <f t="shared" si="129"/>
        <v>-12088800</v>
      </c>
      <c r="M140" s="30">
        <f t="shared" si="129"/>
        <v>-12088800</v>
      </c>
      <c r="N140" s="30">
        <f t="shared" si="129"/>
        <v>-12088800</v>
      </c>
      <c r="O140" s="30">
        <f t="shared" si="129"/>
        <v>0</v>
      </c>
    </row>
  </sheetData>
  <mergeCells count="12">
    <mergeCell ref="B56:O56"/>
    <mergeCell ref="I42:L43"/>
    <mergeCell ref="B2:P2"/>
    <mergeCell ref="B4:O4"/>
    <mergeCell ref="B6:E6"/>
    <mergeCell ref="B13:E13"/>
    <mergeCell ref="B20:E20"/>
    <mergeCell ref="D7:G8"/>
    <mergeCell ref="C41:D41"/>
    <mergeCell ref="E40:F40"/>
    <mergeCell ref="G40:H40"/>
    <mergeCell ref="B38:O38"/>
  </mergeCells>
  <dataValidations disablePrompts="1" count="1">
    <dataValidation type="decimal" allowBlank="1" showInputMessage="1" showErrorMessage="1" errorTitle="Input error" error="Input should be between -200 and +200%. _x000a__x000a_-50% should be entered as -50 and +50% should be entered as +50" sqref="E43:H54" xr:uid="{196B092C-FEC1-445A-B100-FD2526F7C81A}">
      <formula1>-2</formula1>
      <formula2>2</formula2>
    </dataValidation>
  </dataValidations>
  <pageMargins left="0.75" right="0.75" top="1" bottom="1" header="0.511811023622047" footer="0.511811023622047"/>
  <pageSetup paperSize="9" orientation="portrait" horizontalDpi="300" verticalDpi="300"/>
  <headerFooter>
    <oddHeader>&amp;C&amp;"Aptos"&amp;12&amp;KFF0000 OFFICIAL&amp;1#_x000D_</oddHeader>
    <oddFooter>&amp;C_x000D_&amp;1#&amp;"Aptos"&amp;12&amp;KFF0000 OFFICIAL</oddFooter>
  </headerFooter>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3.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2897F96B4F748A48AC66BF66FB3D43FD" ma:contentTypeVersion="4" ma:contentTypeDescription="" ma:contentTypeScope="" ma:versionID="efac99ae7c540f3bb51b32e730a39f56">
  <xsd:schema xmlns:xsd="http://www.w3.org/2001/XMLSchema" xmlns:xs="http://www.w3.org/2001/XMLSchema" xmlns:p="http://schemas.microsoft.com/office/2006/metadata/properties" xmlns:ns2="5d1a2284-45bc-4927-a9f9-e51f9f17c21a" targetNamespace="http://schemas.microsoft.com/office/2006/metadata/properties" ma:root="true" ma:fieldsID="641405956d8d15b1954962214fd17b5f"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c1e2416-1332-4960-aad2-848ce4ef67f4}" ma:internalName="TaxCatchAll" ma:showField="CatchAllData" ma:web="8727479b-9675-4058-909c-5fc7846d3c9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c1e2416-1332-4960-aad2-848ce4ef67f4}" ma:internalName="TaxCatchAllLabel" ma:readOnly="true" ma:showField="CatchAllDataLabel" ma:web="8727479b-9675-4058-909c-5fc7846d3c9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Props1.xml><?xml version="1.0" encoding="utf-8"?>
<ds:datastoreItem xmlns:ds="http://schemas.openxmlformats.org/officeDocument/2006/customXml" ds:itemID="{8723F1F8-7243-4372-BA7F-05491B5597C1}">
  <ds:schemaRefs>
    <ds:schemaRef ds:uri="http://schemas.microsoft.com/sharepoint/v3/contenttype/forms"/>
  </ds:schemaRefs>
</ds:datastoreItem>
</file>

<file path=customXml/itemProps2.xml><?xml version="1.0" encoding="utf-8"?>
<ds:datastoreItem xmlns:ds="http://schemas.openxmlformats.org/officeDocument/2006/customXml" ds:itemID="{17D1527A-89A0-49DA-96F9-B191D0A6D2A7}">
  <ds:schemaRefs>
    <ds:schemaRef ds:uri="Microsoft.SharePoint.Taxonomy.ContentTypeSync"/>
  </ds:schemaRefs>
</ds:datastoreItem>
</file>

<file path=customXml/itemProps3.xml><?xml version="1.0" encoding="utf-8"?>
<ds:datastoreItem xmlns:ds="http://schemas.openxmlformats.org/officeDocument/2006/customXml" ds:itemID="{560CC755-E388-4145-9453-9156855FD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464F63-9861-4575-B537-51DFACABD1E0}">
  <ds:schemaRef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5d1a2284-45bc-4927-a9f9-e51f9f17c21a"/>
    <ds:schemaRef ds:uri="http://www.w3.org/XML/1998/namespace"/>
    <ds:schemaRef ds:uri="http://purl.org/dc/terms/"/>
  </ds:schemaRefs>
</ds:datastoreItem>
</file>

<file path=docMetadata/LabelInfo.xml><?xml version="1.0" encoding="utf-8"?>
<clbl:labelList xmlns:clbl="http://schemas.microsoft.com/office/2020/mipLabelMetadata">
  <clbl:label id="{2e6ba7ff-9897-4e65-9803-3be34fd9cf5a}" enabled="1" method="Privileged" siteId="{8c3c81bc-2b3c-44af-b3f7-6f620b3910ee}" removed="0"/>
  <clbl:label id="{99073dc8-447f-4da9-8b3a-bddcede8d04b}" enabled="1" method="Privilege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Ilustrative Comparison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Michael.Riordan@asl.org.au</dc:creator>
  <cp:keywords/>
  <dc:description/>
  <cp:lastModifiedBy>Ross Anderson</cp:lastModifiedBy>
  <cp:revision>1</cp:revision>
  <dcterms:created xsi:type="dcterms:W3CDTF">2026-07-23T21:09:24Z</dcterms:created>
  <dcterms:modified xsi:type="dcterms:W3CDTF">2026-08-27T03:54:55Z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AEMO Collaboration Document Type">
    <vt:lpwstr/>
  </property>
  <property fmtid="{D5CDD505-2E9C-101B-9397-08002B2CF9AE}" pid="4" name="ContentTypeId">
    <vt:lpwstr>0x0101002F0B48F8F4F7904196E710056827A096002897F96B4F748A48AC66BF66FB3D43FD</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AEMO_x0020_Collaboration_x0020_Document_x0020_Type">
    <vt:lpwstr/>
  </property>
  <property fmtid="{D5CDD505-2E9C-101B-9397-08002B2CF9AE}" pid="9" name="_activity">
    <vt:lpwstr>{"FileActivityType":"11","FileActivityTimeStamp":"2026-07-28T04:58:28.537Z","FileActivityUsersOnPage":[{"DisplayName":"Ross Anderson","Id":"ross.anderson@aemo.com.au"},{"DisplayName":"Michael Riordan","Id":"michael.riordan@aemo.com.au"}],"FileActivityNavigationId":null}</vt:lpwstr>
  </property>
</Properties>
</file>