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aemocloud.sharepoint.com/sites/EXT-ESEMWorkingGroup/Shared Documents/ESEM Contract Co-Design/ESEM Working Group/Meeting Minutes/Workshop 3 (Meeting 4)/Finals for Publishing/"/>
    </mc:Choice>
  </mc:AlternateContent>
  <xr:revisionPtr revIDLastSave="7" documentId="8_{BBF0CD58-1796-4CE7-B31D-062F27D47973}" xr6:coauthVersionLast="47" xr6:coauthVersionMax="47" xr10:uidLastSave="{6870DBB3-AB7D-4D94-95E4-3C8D7763003E}"/>
  <bookViews>
    <workbookView xWindow="-28920" yWindow="-300" windowWidth="29040" windowHeight="15720" tabRatio="500" activeTab="1" xr2:uid="{00000000-000D-0000-FFFF-FFFF00000000}"/>
  </bookViews>
  <sheets>
    <sheet name="Intro" sheetId="1" r:id="rId1"/>
    <sheet name="Ilustrative Comparison Tool"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O122" i="4" l="1"/>
  <c r="O107" i="4"/>
  <c r="O97" i="4"/>
  <c r="O96" i="4"/>
  <c r="O90" i="4"/>
  <c r="O89" i="4"/>
  <c r="O85" i="4"/>
  <c r="O84" i="4"/>
  <c r="O83" i="4"/>
  <c r="O82" i="4"/>
  <c r="O77" i="4"/>
  <c r="O76" i="4"/>
  <c r="O115" i="4" s="1"/>
  <c r="O72" i="4"/>
  <c r="O71" i="4"/>
  <c r="O70" i="4"/>
  <c r="O69" i="4"/>
  <c r="O63" i="4"/>
  <c r="O62" i="4"/>
  <c r="O61" i="4"/>
  <c r="O60" i="4"/>
  <c r="O59" i="4"/>
  <c r="E58" i="4"/>
  <c r="E67" i="4" s="1"/>
  <c r="E104" i="4" s="1"/>
  <c r="D58" i="4"/>
  <c r="D67" i="4" s="1"/>
  <c r="D104" i="4" s="1"/>
  <c r="C21" i="4"/>
  <c r="C9" i="4" s="1"/>
  <c r="C26" i="4" s="1"/>
  <c r="C30" i="4"/>
  <c r="C35" i="4"/>
  <c r="C36" i="4"/>
  <c r="I83" i="4"/>
  <c r="I76" i="4"/>
  <c r="I115" i="4" s="1"/>
  <c r="I130" i="4" s="1"/>
  <c r="I137" i="4" s="1"/>
  <c r="O58" i="4"/>
  <c r="O67" i="4" s="1"/>
  <c r="O104" i="4" s="1"/>
  <c r="N58" i="4"/>
  <c r="N67" i="4" s="1"/>
  <c r="N104" i="4" s="1"/>
  <c r="M58" i="4"/>
  <c r="M67" i="4" s="1"/>
  <c r="M104" i="4" s="1"/>
  <c r="L58" i="4"/>
  <c r="L67" i="4" s="1"/>
  <c r="L104" i="4" s="1"/>
  <c r="K58" i="4"/>
  <c r="K67" i="4" s="1"/>
  <c r="K104" i="4" s="1"/>
  <c r="J58" i="4"/>
  <c r="J67" i="4" s="1"/>
  <c r="J104" i="4" s="1"/>
  <c r="I58" i="4"/>
  <c r="I67" i="4" s="1"/>
  <c r="I104" i="4" s="1"/>
  <c r="H58" i="4"/>
  <c r="H67" i="4" s="1"/>
  <c r="H104" i="4" s="1"/>
  <c r="G58" i="4"/>
  <c r="G67" i="4" s="1"/>
  <c r="G104" i="4" s="1"/>
  <c r="F58" i="4"/>
  <c r="F67" i="4" s="1"/>
  <c r="F104" i="4" s="1"/>
  <c r="C58" i="4"/>
  <c r="C67" i="4" s="1"/>
  <c r="C104" i="4" s="1"/>
  <c r="C82" i="4" l="1"/>
  <c r="C11" i="4"/>
  <c r="C31" i="4"/>
  <c r="C16" i="4"/>
  <c r="C18" i="4" s="1"/>
  <c r="H83" i="4" l="1"/>
  <c r="H76" i="4"/>
  <c r="K76" i="4"/>
  <c r="L76" i="4"/>
  <c r="K83" i="4"/>
  <c r="L83" i="4"/>
  <c r="J83" i="4"/>
  <c r="J76" i="4"/>
  <c r="N76" i="4"/>
  <c r="M76" i="4"/>
  <c r="G76" i="4"/>
  <c r="F76" i="4"/>
  <c r="E76" i="4"/>
  <c r="D76" i="4"/>
  <c r="C76" i="4"/>
  <c r="G97" i="4" l="1"/>
  <c r="I97" i="4"/>
  <c r="N115" i="4"/>
  <c r="J115" i="4"/>
  <c r="L115" i="4"/>
  <c r="K115" i="4"/>
  <c r="C115" i="4"/>
  <c r="H115" i="4"/>
  <c r="H130" i="4" s="1"/>
  <c r="D115" i="4"/>
  <c r="E115" i="4"/>
  <c r="F115" i="4"/>
  <c r="G115" i="4"/>
  <c r="M115" i="4"/>
  <c r="H97" i="4"/>
  <c r="J97" i="4"/>
  <c r="M97" i="4"/>
  <c r="L97" i="4"/>
  <c r="N97" i="4"/>
  <c r="K97" i="4"/>
  <c r="C97" i="4"/>
  <c r="E97" i="4"/>
  <c r="F97" i="4"/>
  <c r="D97" i="4"/>
  <c r="G83" i="4" l="1"/>
  <c r="F83" i="4"/>
  <c r="N83" i="4"/>
  <c r="M83" i="4"/>
  <c r="E83" i="4"/>
  <c r="D83" i="4"/>
  <c r="C61" i="4"/>
  <c r="C83" i="4"/>
  <c r="C70" i="4"/>
  <c r="C77" i="4" s="1"/>
  <c r="I70" i="4" l="1"/>
  <c r="I77" i="4" s="1"/>
  <c r="I116" i="4" s="1"/>
  <c r="H70" i="4"/>
  <c r="H77" i="4" s="1"/>
  <c r="H116" i="4" s="1"/>
  <c r="O116" i="4"/>
  <c r="N70" i="4"/>
  <c r="N77" i="4" s="1"/>
  <c r="N116" i="4" s="1"/>
  <c r="C116" i="4"/>
  <c r="N61" i="4"/>
  <c r="I61" i="4"/>
  <c r="H61" i="4"/>
  <c r="C108" i="4"/>
  <c r="K61" i="4"/>
  <c r="K108" i="4" s="1"/>
  <c r="L61" i="4"/>
  <c r="L108" i="4" s="1"/>
  <c r="J70" i="4"/>
  <c r="J77" i="4" s="1"/>
  <c r="J116" i="4" s="1"/>
  <c r="L70" i="4"/>
  <c r="L77" i="4" s="1"/>
  <c r="L116" i="4" s="1"/>
  <c r="K70" i="4"/>
  <c r="K77" i="4" s="1"/>
  <c r="K116" i="4" s="1"/>
  <c r="C98" i="4"/>
  <c r="J61" i="4"/>
  <c r="J108" i="4" s="1"/>
  <c r="C69" i="4"/>
  <c r="C71" i="4" s="1"/>
  <c r="M61" i="4"/>
  <c r="M108" i="4" s="1"/>
  <c r="M70" i="4"/>
  <c r="M77" i="4" s="1"/>
  <c r="M116" i="4" s="1"/>
  <c r="E70" i="4"/>
  <c r="E77" i="4" s="1"/>
  <c r="E116" i="4" s="1"/>
  <c r="G70" i="4"/>
  <c r="G77" i="4" s="1"/>
  <c r="G116" i="4" s="1"/>
  <c r="D70" i="4"/>
  <c r="D77" i="4" s="1"/>
  <c r="D116" i="4" s="1"/>
  <c r="F70" i="4"/>
  <c r="F77" i="4" s="1"/>
  <c r="F116" i="4" s="1"/>
  <c r="F61" i="4"/>
  <c r="G61" i="4"/>
  <c r="D61" i="4"/>
  <c r="E61" i="4"/>
  <c r="E108" i="4" s="1"/>
  <c r="C84" i="4"/>
  <c r="D84" i="4" l="1"/>
  <c r="D98" i="4"/>
  <c r="I129" i="4"/>
  <c r="H129" i="4"/>
  <c r="H131" i="4" s="1"/>
  <c r="I82" i="4"/>
  <c r="O129" i="4"/>
  <c r="O136" i="4" s="1"/>
  <c r="I122" i="4"/>
  <c r="I90" i="4"/>
  <c r="I108" i="4"/>
  <c r="I123" i="4" s="1"/>
  <c r="I84" i="4"/>
  <c r="I85" i="4" s="1"/>
  <c r="I98" i="4"/>
  <c r="O125" i="4"/>
  <c r="O98" i="4"/>
  <c r="I107" i="4"/>
  <c r="I69" i="4"/>
  <c r="H69" i="4"/>
  <c r="N69" i="4"/>
  <c r="N75" i="4" s="1"/>
  <c r="J123" i="4"/>
  <c r="J130" i="4" s="1"/>
  <c r="L123" i="4"/>
  <c r="L130" i="4" s="1"/>
  <c r="K123" i="4"/>
  <c r="K130" i="4" s="1"/>
  <c r="C123" i="4"/>
  <c r="C130" i="4" s="1"/>
  <c r="C137" i="4" s="1"/>
  <c r="M123" i="4"/>
  <c r="M130" i="4" s="1"/>
  <c r="O108" i="4"/>
  <c r="J122" i="4"/>
  <c r="J129" i="4" s="1"/>
  <c r="J136" i="4" s="1"/>
  <c r="G122" i="4"/>
  <c r="G129" i="4" s="1"/>
  <c r="G136" i="4" s="1"/>
  <c r="F122" i="4"/>
  <c r="F129" i="4" s="1"/>
  <c r="F136" i="4" s="1"/>
  <c r="H122" i="4"/>
  <c r="H136" i="4" s="1"/>
  <c r="E122" i="4"/>
  <c r="E129" i="4" s="1"/>
  <c r="E136" i="4" s="1"/>
  <c r="D122" i="4"/>
  <c r="D129" i="4" s="1"/>
  <c r="D136" i="4" s="1"/>
  <c r="C122" i="4"/>
  <c r="C129" i="4" s="1"/>
  <c r="C136" i="4" s="1"/>
  <c r="H82" i="4"/>
  <c r="N122" i="4"/>
  <c r="N129" i="4" s="1"/>
  <c r="N136" i="4" s="1"/>
  <c r="M122" i="4"/>
  <c r="M129" i="4" s="1"/>
  <c r="M136" i="4" s="1"/>
  <c r="L122" i="4"/>
  <c r="L129" i="4" s="1"/>
  <c r="L136" i="4" s="1"/>
  <c r="K122" i="4"/>
  <c r="K129" i="4" s="1"/>
  <c r="K136" i="4" s="1"/>
  <c r="H90" i="4"/>
  <c r="C90" i="4"/>
  <c r="E90" i="4"/>
  <c r="H108" i="4"/>
  <c r="H84" i="4"/>
  <c r="H98" i="4"/>
  <c r="K69" i="4"/>
  <c r="H107" i="4"/>
  <c r="E107" i="4"/>
  <c r="D107" i="4"/>
  <c r="C107" i="4"/>
  <c r="N107" i="4"/>
  <c r="M107" i="4"/>
  <c r="L107" i="4"/>
  <c r="K107" i="4"/>
  <c r="J107" i="4"/>
  <c r="G107" i="4"/>
  <c r="F107" i="4"/>
  <c r="D108" i="4"/>
  <c r="G98" i="4"/>
  <c r="G108" i="4"/>
  <c r="N98" i="4"/>
  <c r="N108" i="4"/>
  <c r="F98" i="4"/>
  <c r="F108" i="4"/>
  <c r="E98" i="4"/>
  <c r="E123" i="4"/>
  <c r="L98" i="4"/>
  <c r="L84" i="4"/>
  <c r="K98" i="4"/>
  <c r="K84" i="4"/>
  <c r="J82" i="4"/>
  <c r="K82" i="4"/>
  <c r="L82" i="4"/>
  <c r="K90" i="4"/>
  <c r="J90" i="4"/>
  <c r="L90" i="4"/>
  <c r="J69" i="4"/>
  <c r="J75" i="4" s="1"/>
  <c r="J114" i="4" s="1"/>
  <c r="L69" i="4"/>
  <c r="J84" i="4"/>
  <c r="J98" i="4"/>
  <c r="C75" i="4"/>
  <c r="C78" i="4" s="1"/>
  <c r="M84" i="4"/>
  <c r="M98" i="4"/>
  <c r="N90" i="4"/>
  <c r="F90" i="4"/>
  <c r="M90" i="4"/>
  <c r="D90" i="4"/>
  <c r="F84" i="4"/>
  <c r="G84" i="4"/>
  <c r="N84" i="4"/>
  <c r="F69" i="4"/>
  <c r="M69" i="4"/>
  <c r="D69" i="4"/>
  <c r="G69" i="4"/>
  <c r="E69" i="4"/>
  <c r="G90" i="4"/>
  <c r="C59" i="4"/>
  <c r="F82" i="4"/>
  <c r="G82" i="4"/>
  <c r="E84" i="4"/>
  <c r="C85" i="4"/>
  <c r="C125" i="4" s="1"/>
  <c r="N82" i="4"/>
  <c r="D82" i="4"/>
  <c r="M82" i="4"/>
  <c r="E82" i="4"/>
  <c r="I124" i="4" l="1"/>
  <c r="C86" i="4"/>
  <c r="I136" i="4"/>
  <c r="I138" i="4" s="1"/>
  <c r="I131" i="4"/>
  <c r="C114" i="4"/>
  <c r="N78" i="4"/>
  <c r="N114" i="4"/>
  <c r="O75" i="4"/>
  <c r="O114" i="4" s="1"/>
  <c r="I59" i="4"/>
  <c r="H59" i="4"/>
  <c r="H60" i="4" s="1"/>
  <c r="H96" i="4" s="1"/>
  <c r="H99" i="4" s="1"/>
  <c r="H139" i="4" s="1"/>
  <c r="N59" i="4"/>
  <c r="I75" i="4"/>
  <c r="I114" i="4" s="1"/>
  <c r="I71" i="4"/>
  <c r="I72" i="4" s="1"/>
  <c r="I109" i="4"/>
  <c r="I125" i="4"/>
  <c r="D123" i="4"/>
  <c r="D130" i="4" s="1"/>
  <c r="D131" i="4" s="1"/>
  <c r="G123" i="4"/>
  <c r="G130" i="4" s="1"/>
  <c r="G131" i="4" s="1"/>
  <c r="M109" i="4"/>
  <c r="H123" i="4"/>
  <c r="H124" i="4" s="1"/>
  <c r="J109" i="4"/>
  <c r="K109" i="4"/>
  <c r="L109" i="4"/>
  <c r="F123" i="4"/>
  <c r="F130" i="4" s="1"/>
  <c r="F131" i="4" s="1"/>
  <c r="N123" i="4"/>
  <c r="N124" i="4" s="1"/>
  <c r="O123" i="4"/>
  <c r="O124" i="4" s="1"/>
  <c r="O126" i="4" s="1"/>
  <c r="O109" i="4"/>
  <c r="M124" i="4"/>
  <c r="H109" i="4"/>
  <c r="J131" i="4"/>
  <c r="J124" i="4"/>
  <c r="H85" i="4"/>
  <c r="H125" i="4" s="1"/>
  <c r="E124" i="4"/>
  <c r="C124" i="4"/>
  <c r="C126" i="4" s="1"/>
  <c r="C131" i="4"/>
  <c r="K124" i="4"/>
  <c r="C138" i="4"/>
  <c r="L124" i="4"/>
  <c r="K131" i="4"/>
  <c r="L131" i="4"/>
  <c r="M131" i="4"/>
  <c r="H75" i="4"/>
  <c r="H114" i="4" s="1"/>
  <c r="H71" i="4"/>
  <c r="H72" i="4" s="1"/>
  <c r="N109" i="4"/>
  <c r="D109" i="4"/>
  <c r="E109" i="4"/>
  <c r="J85" i="4"/>
  <c r="J125" i="4" s="1"/>
  <c r="F109" i="4"/>
  <c r="G109" i="4"/>
  <c r="F59" i="4"/>
  <c r="F62" i="4" s="1"/>
  <c r="C109" i="4"/>
  <c r="E130" i="4"/>
  <c r="E131" i="4" s="1"/>
  <c r="K137" i="4"/>
  <c r="K138" i="4" s="1"/>
  <c r="L137" i="4"/>
  <c r="L138" i="4" s="1"/>
  <c r="M137" i="4"/>
  <c r="M138" i="4" s="1"/>
  <c r="J137" i="4"/>
  <c r="J138" i="4" s="1"/>
  <c r="J71" i="4"/>
  <c r="N71" i="4"/>
  <c r="N72" i="4" s="1"/>
  <c r="L59" i="4"/>
  <c r="K59" i="4"/>
  <c r="L85" i="4"/>
  <c r="L125" i="4" s="1"/>
  <c r="K85" i="4"/>
  <c r="L71" i="4"/>
  <c r="L75" i="4"/>
  <c r="L114" i="4" s="1"/>
  <c r="K75" i="4"/>
  <c r="K114" i="4" s="1"/>
  <c r="K71" i="4"/>
  <c r="J78" i="4"/>
  <c r="C60" i="4"/>
  <c r="C96" i="4" s="1"/>
  <c r="C99" i="4" s="1"/>
  <c r="J59" i="4"/>
  <c r="G71" i="4"/>
  <c r="G72" i="4" s="1"/>
  <c r="G75" i="4"/>
  <c r="G114" i="4" s="1"/>
  <c r="F71" i="4"/>
  <c r="F72" i="4" s="1"/>
  <c r="F75" i="4"/>
  <c r="F114" i="4" s="1"/>
  <c r="D71" i="4"/>
  <c r="D72" i="4" s="1"/>
  <c r="D75" i="4"/>
  <c r="D114" i="4" s="1"/>
  <c r="E71" i="4"/>
  <c r="E75" i="4"/>
  <c r="E114" i="4" s="1"/>
  <c r="M71" i="4"/>
  <c r="M72" i="4" s="1"/>
  <c r="M75" i="4"/>
  <c r="M114" i="4" s="1"/>
  <c r="C72" i="4"/>
  <c r="M85" i="4"/>
  <c r="M125" i="4" s="1"/>
  <c r="G85" i="4"/>
  <c r="G125" i="4" s="1"/>
  <c r="F85" i="4"/>
  <c r="F125" i="4" s="1"/>
  <c r="N85" i="4"/>
  <c r="N125" i="4" s="1"/>
  <c r="G59" i="4"/>
  <c r="E59" i="4"/>
  <c r="D59" i="4"/>
  <c r="D62" i="4" s="1"/>
  <c r="D63" i="4" s="1"/>
  <c r="D89" i="4" s="1"/>
  <c r="M59" i="4"/>
  <c r="C62" i="4"/>
  <c r="E85" i="4"/>
  <c r="E125" i="4" s="1"/>
  <c r="D85" i="4"/>
  <c r="D125" i="4" s="1"/>
  <c r="I126" i="4" l="1"/>
  <c r="C63" i="4"/>
  <c r="C89" i="4" s="1"/>
  <c r="C91" i="4" s="1"/>
  <c r="C92" i="4" s="1"/>
  <c r="N118" i="4"/>
  <c r="N79" i="4"/>
  <c r="C118" i="4"/>
  <c r="C79" i="4"/>
  <c r="J118" i="4"/>
  <c r="J79" i="4"/>
  <c r="O130" i="4"/>
  <c r="O131" i="4" s="1"/>
  <c r="I86" i="4"/>
  <c r="C111" i="4"/>
  <c r="C117" i="4"/>
  <c r="O86" i="4"/>
  <c r="E126" i="4"/>
  <c r="D124" i="4"/>
  <c r="D126" i="4" s="1"/>
  <c r="G111" i="4"/>
  <c r="G117" i="4"/>
  <c r="I111" i="4"/>
  <c r="I117" i="4"/>
  <c r="F111" i="4"/>
  <c r="F117" i="4"/>
  <c r="E111" i="4"/>
  <c r="E117" i="4"/>
  <c r="D117" i="4"/>
  <c r="D111" i="4"/>
  <c r="K111" i="4"/>
  <c r="K117" i="4"/>
  <c r="N111" i="4"/>
  <c r="N117" i="4"/>
  <c r="O117" i="4"/>
  <c r="O111" i="4"/>
  <c r="N126" i="4"/>
  <c r="G124" i="4"/>
  <c r="G126" i="4" s="1"/>
  <c r="J111" i="4"/>
  <c r="J117" i="4"/>
  <c r="L126" i="4"/>
  <c r="L117" i="4"/>
  <c r="L111" i="4"/>
  <c r="J126" i="4"/>
  <c r="H126" i="4"/>
  <c r="M111" i="4"/>
  <c r="M117" i="4"/>
  <c r="H111" i="4"/>
  <c r="H117" i="4"/>
  <c r="N130" i="4"/>
  <c r="N131" i="4" s="1"/>
  <c r="M126" i="4"/>
  <c r="I78" i="4"/>
  <c r="O91" i="4"/>
  <c r="O92" i="4" s="1"/>
  <c r="O93" i="4" s="1"/>
  <c r="O99" i="4"/>
  <c r="O100" i="4" s="1"/>
  <c r="F124" i="4"/>
  <c r="F126" i="4" s="1"/>
  <c r="I60" i="4"/>
  <c r="I96" i="4" s="1"/>
  <c r="I99" i="4" s="1"/>
  <c r="I62" i="4"/>
  <c r="I63" i="4" s="1"/>
  <c r="I89" i="4" s="1"/>
  <c r="I91" i="4" s="1"/>
  <c r="I92" i="4" s="1"/>
  <c r="O78" i="4"/>
  <c r="H62" i="4"/>
  <c r="H63" i="4" s="1"/>
  <c r="H89" i="4" s="1"/>
  <c r="H91" i="4" s="1"/>
  <c r="H92" i="4" s="1"/>
  <c r="H132" i="4" s="1"/>
  <c r="H133" i="4" s="1"/>
  <c r="N60" i="4"/>
  <c r="N96" i="4" s="1"/>
  <c r="N99" i="4" s="1"/>
  <c r="N62" i="4"/>
  <c r="H137" i="4"/>
  <c r="H138" i="4" s="1"/>
  <c r="H140" i="4" s="1"/>
  <c r="H78" i="4"/>
  <c r="H79" i="4" s="1"/>
  <c r="H100" i="4"/>
  <c r="H86" i="4"/>
  <c r="K125" i="4"/>
  <c r="K126" i="4" s="1"/>
  <c r="K86" i="4"/>
  <c r="E86" i="4"/>
  <c r="J72" i="4"/>
  <c r="J86" i="4"/>
  <c r="E137" i="4"/>
  <c r="E138" i="4" s="1"/>
  <c r="F137" i="4"/>
  <c r="F138" i="4" s="1"/>
  <c r="G137" i="4"/>
  <c r="G138" i="4" s="1"/>
  <c r="D137" i="4"/>
  <c r="D138" i="4" s="1"/>
  <c r="C100" i="4"/>
  <c r="C139" i="4"/>
  <c r="C140" i="4" s="1"/>
  <c r="L60" i="4"/>
  <c r="L96" i="4" s="1"/>
  <c r="L99" i="4" s="1"/>
  <c r="L62" i="4"/>
  <c r="L63" i="4" s="1"/>
  <c r="L89" i="4" s="1"/>
  <c r="L91" i="4" s="1"/>
  <c r="L92" i="4" s="1"/>
  <c r="K62" i="4"/>
  <c r="K63" i="4" s="1"/>
  <c r="K89" i="4" s="1"/>
  <c r="K91" i="4" s="1"/>
  <c r="K92" i="4" s="1"/>
  <c r="K60" i="4"/>
  <c r="K96" i="4" s="1"/>
  <c r="K99" i="4" s="1"/>
  <c r="K139" i="4" s="1"/>
  <c r="K140" i="4" s="1"/>
  <c r="K72" i="4"/>
  <c r="K78" i="4"/>
  <c r="L78" i="4"/>
  <c r="L79" i="4" s="1"/>
  <c r="L72" i="4"/>
  <c r="L86" i="4"/>
  <c r="J62" i="4"/>
  <c r="J63" i="4" s="1"/>
  <c r="J89" i="4" s="1"/>
  <c r="J91" i="4" s="1"/>
  <c r="J92" i="4" s="1"/>
  <c r="J93" i="4" s="1"/>
  <c r="J60" i="4"/>
  <c r="J96" i="4" s="1"/>
  <c r="J99" i="4" s="1"/>
  <c r="M86" i="4"/>
  <c r="E72" i="4"/>
  <c r="F78" i="4"/>
  <c r="F79" i="4" s="1"/>
  <c r="G78" i="4"/>
  <c r="E78" i="4"/>
  <c r="E79" i="4" s="1"/>
  <c r="D78" i="4"/>
  <c r="D79" i="4" s="1"/>
  <c r="M78" i="4"/>
  <c r="M79" i="4" s="1"/>
  <c r="E62" i="4"/>
  <c r="E63" i="4" s="1"/>
  <c r="E89" i="4" s="1"/>
  <c r="E91" i="4" s="1"/>
  <c r="E60" i="4"/>
  <c r="E96" i="4" s="1"/>
  <c r="E99" i="4" s="1"/>
  <c r="F86" i="4"/>
  <c r="F63" i="4"/>
  <c r="F89" i="4" s="1"/>
  <c r="F91" i="4" s="1"/>
  <c r="F92" i="4" s="1"/>
  <c r="F60" i="4"/>
  <c r="F96" i="4" s="1"/>
  <c r="F99" i="4" s="1"/>
  <c r="N86" i="4"/>
  <c r="M62" i="4"/>
  <c r="M63" i="4" s="1"/>
  <c r="M89" i="4" s="1"/>
  <c r="M91" i="4" s="1"/>
  <c r="M92" i="4" s="1"/>
  <c r="M60" i="4"/>
  <c r="M96" i="4" s="1"/>
  <c r="M99" i="4" s="1"/>
  <c r="D86" i="4"/>
  <c r="G62" i="4"/>
  <c r="G63" i="4" s="1"/>
  <c r="G89" i="4" s="1"/>
  <c r="G91" i="4" s="1"/>
  <c r="G92" i="4" s="1"/>
  <c r="G60" i="4"/>
  <c r="G96" i="4" s="1"/>
  <c r="G99" i="4" s="1"/>
  <c r="D91" i="4"/>
  <c r="D92" i="4" s="1"/>
  <c r="D60" i="4"/>
  <c r="D96" i="4" s="1"/>
  <c r="D99" i="4" s="1"/>
  <c r="G86" i="4"/>
  <c r="C119" i="4" l="1"/>
  <c r="C93" i="4"/>
  <c r="C132" i="4"/>
  <c r="C133" i="4" s="1"/>
  <c r="N119" i="4"/>
  <c r="J119" i="4"/>
  <c r="O118" i="4"/>
  <c r="O119" i="4" s="1"/>
  <c r="O79" i="4"/>
  <c r="I118" i="4"/>
  <c r="I119" i="4" s="1"/>
  <c r="I79" i="4"/>
  <c r="K118" i="4"/>
  <c r="K119" i="4" s="1"/>
  <c r="K79" i="4"/>
  <c r="G118" i="4"/>
  <c r="G119" i="4" s="1"/>
  <c r="G79" i="4"/>
  <c r="O137" i="4"/>
  <c r="O138" i="4" s="1"/>
  <c r="N137" i="4"/>
  <c r="N138" i="4" s="1"/>
  <c r="O139" i="4"/>
  <c r="O132" i="4"/>
  <c r="O133" i="4" s="1"/>
  <c r="I100" i="4"/>
  <c r="I139" i="4"/>
  <c r="I140" i="4" s="1"/>
  <c r="I93" i="4"/>
  <c r="I132" i="4"/>
  <c r="I133" i="4" s="1"/>
  <c r="N63" i="4"/>
  <c r="N89" i="4" s="1"/>
  <c r="N91" i="4" s="1"/>
  <c r="N92" i="4" s="1"/>
  <c r="M118" i="4"/>
  <c r="M119" i="4" s="1"/>
  <c r="H118" i="4"/>
  <c r="H119" i="4" s="1"/>
  <c r="D118" i="4"/>
  <c r="D119" i="4" s="1"/>
  <c r="L118" i="4"/>
  <c r="L119" i="4" s="1"/>
  <c r="E118" i="4"/>
  <c r="E119" i="4" s="1"/>
  <c r="F118" i="4"/>
  <c r="F119" i="4" s="1"/>
  <c r="H93" i="4"/>
  <c r="K100" i="4"/>
  <c r="K93" i="4"/>
  <c r="K132" i="4"/>
  <c r="K133" i="4" s="1"/>
  <c r="G100" i="4"/>
  <c r="G139" i="4"/>
  <c r="G140" i="4" s="1"/>
  <c r="G93" i="4"/>
  <c r="G132" i="4"/>
  <c r="G133" i="4" s="1"/>
  <c r="N100" i="4"/>
  <c r="N139" i="4"/>
  <c r="M100" i="4"/>
  <c r="M139" i="4"/>
  <c r="M140" i="4" s="1"/>
  <c r="M93" i="4"/>
  <c r="M132" i="4"/>
  <c r="M133" i="4" s="1"/>
  <c r="D100" i="4"/>
  <c r="D139" i="4"/>
  <c r="D140" i="4" s="1"/>
  <c r="D93" i="4"/>
  <c r="D132" i="4"/>
  <c r="D133" i="4" s="1"/>
  <c r="E100" i="4"/>
  <c r="E139" i="4"/>
  <c r="E140" i="4" s="1"/>
  <c r="F100" i="4"/>
  <c r="F139" i="4"/>
  <c r="F140" i="4" s="1"/>
  <c r="J100" i="4"/>
  <c r="J139" i="4"/>
  <c r="J140" i="4" s="1"/>
  <c r="F93" i="4"/>
  <c r="F132" i="4"/>
  <c r="F133" i="4" s="1"/>
  <c r="J132" i="4"/>
  <c r="J133" i="4" s="1"/>
  <c r="L93" i="4"/>
  <c r="L132" i="4"/>
  <c r="L133" i="4" s="1"/>
  <c r="L100" i="4"/>
  <c r="L139" i="4"/>
  <c r="L140" i="4" s="1"/>
  <c r="E92" i="4"/>
  <c r="O140" i="4" l="1"/>
  <c r="N140" i="4"/>
  <c r="N93" i="4"/>
  <c r="N132" i="4"/>
  <c r="N133" i="4" s="1"/>
  <c r="E93" i="4"/>
  <c r="E132" i="4"/>
  <c r="E133"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C7" authorId="0" shapeId="0" xr:uid="{00000000-0006-0000-0100-000001000000}">
      <text>
        <r>
          <rPr>
            <sz val="10"/>
            <rFont val="Arial"/>
            <family val="2"/>
          </rPr>
          <t>Nameplate capacity of the seller's own generation asset.</t>
        </r>
      </text>
    </comment>
    <comment ref="C9" authorId="0" shapeId="0" xr:uid="{00000000-0006-0000-0100-000002000000}">
      <text>
        <r>
          <rPr>
            <sz val="10"/>
            <rFont val="Arial"/>
            <family val="2"/>
          </rPr>
          <t>Actual metered output of the seller's own asset for the settlement period.</t>
        </r>
      </text>
    </comment>
    <comment ref="C10" authorId="0" shapeId="0" xr:uid="{00000000-0006-0000-0100-000003000000}">
      <text>
        <r>
          <rPr>
            <sz val="10"/>
            <rFont val="Arial"/>
            <family val="2"/>
          </rPr>
          <t>Dispatch-weighted average price actually achieved by the seller's own asset for the period.</t>
        </r>
      </text>
    </comment>
    <comment ref="C14" authorId="0" shapeId="0" xr:uid="{00000000-0006-0000-0100-000004000000}">
      <text>
        <r>
          <rPr>
            <sz val="10"/>
            <rFont val="Arial"/>
            <family val="2"/>
          </rPr>
          <t>Capacity of the reference/average fleet used to benchmark performance (e.g. regional average project of the same size/technology).</t>
        </r>
      </text>
    </comment>
    <comment ref="C16" authorId="0" shapeId="0" xr:uid="{00000000-0006-0000-0100-000005000000}">
      <text>
        <r>
          <rPr>
            <sz val="10"/>
            <rFont val="Arial"/>
            <family val="2"/>
          </rPr>
          <t>Actual ex-post output of the reference/average fleet for the same period.</t>
        </r>
      </text>
    </comment>
    <comment ref="C17" authorId="0" shapeId="0" xr:uid="{00000000-0006-0000-0100-000006000000}">
      <text>
        <r>
          <rPr>
            <sz val="10"/>
            <rFont val="Arial"/>
            <family val="2"/>
          </rPr>
          <t>Regional dispatch-weighted average price achieved by the reference fleet for the period.</t>
        </r>
      </text>
    </comment>
    <comment ref="C24" authorId="0" shapeId="0" xr:uid="{00000000-0006-0000-0100-000009000000}">
      <text>
        <r>
          <rPr>
            <sz val="10"/>
            <rFont val="Arial"/>
            <family val="2"/>
          </rPr>
          <t>Fixed strike price agreed at signing for the ex-post DWA swap. Set equal to Reference DWA by default so the baseline case is roughly fair value - change this to test richer/cheaper strikes.</t>
        </r>
      </text>
    </comment>
    <comment ref="C29" authorId="0" shapeId="0" xr:uid="{00000000-0006-0000-0100-000007000000}">
      <text>
        <r>
          <rPr>
            <sz val="10"/>
            <rFont val="Arial"/>
            <family val="2"/>
          </rPr>
          <t>The share of the project's own capacity sold under this contract. Set below 100% to model a partial hedge - the unhedged share still generates and sells at merchant price with no swap protection either way.</t>
        </r>
      </text>
    </comment>
    <comment ref="C30" authorId="0" shapeId="0" xr:uid="{00000000-0006-0000-0100-000008000000}">
      <text>
        <r>
          <rPr>
            <sz val="10"/>
            <rFont val="Arial"/>
            <family val="2"/>
          </rPr>
          <t>= Project capacity x Contracted proportion. This is the notional MW referenced by both swaps' settlement formulas.</t>
        </r>
      </text>
    </comment>
    <comment ref="C31" authorId="0" shapeId="0" xr:uid="{00000000-0006-0000-0100-00000A000000}">
      <text>
        <r>
          <rPr>
            <sz val="10"/>
            <rFont val="Arial"/>
            <family val="2"/>
          </rPr>
          <t>Fixed revenue per MW agreed at signing for the ex-post revenue swap. Set roughly equal to the reference fleet's revenue-per-MW by default so the baseline case is roughly fair value - change this to test richer/cheaper fixed rates.</t>
        </r>
      </text>
    </comment>
    <comment ref="C34" authorId="0" shapeId="0" xr:uid="{3090D8A0-6BAF-4C6E-ACE9-D7DE9C816B22}">
      <text>
        <r>
          <rPr>
            <sz val="10"/>
            <rFont val="Arial"/>
            <family val="2"/>
          </rPr>
          <t>The share of the project's own capacity sold under this contract. Set below 100% to model a partial hedge - the unhedged share still generates and sells at merchant price with no swap protection either way.</t>
        </r>
      </text>
    </comment>
    <comment ref="C35" authorId="0" shapeId="0" xr:uid="{14D3CE03-E244-451D-905A-B1C25FFFA74A}">
      <text>
        <r>
          <rPr>
            <sz val="10"/>
            <rFont val="Arial"/>
            <family val="2"/>
          </rPr>
          <t>= Project capacity x Contracted proportion. This is the notional MW referenced by both swaps' settlement formulas.</t>
        </r>
      </text>
    </comment>
    <comment ref="C36" authorId="0" shapeId="0" xr:uid="{5BD1333D-F8D6-4232-8B6E-2315BF68FF71}">
      <text>
        <r>
          <rPr>
            <sz val="10"/>
            <rFont val="Arial"/>
            <family val="2"/>
          </rPr>
          <t>Fixed revenue per MW agreed at signing for the ex-post revenue swap. Set roughly equal to the reference fleet's revenue-per-MW by default so the baseline case is roughly fair value - change this to test richer/cheaper fixed rates.</t>
        </r>
      </text>
    </comment>
  </commentList>
</comments>
</file>

<file path=xl/sharedStrings.xml><?xml version="1.0" encoding="utf-8"?>
<sst xmlns="http://schemas.openxmlformats.org/spreadsheetml/2006/main" count="158" uniqueCount="122">
  <si>
    <t>Purpose</t>
  </si>
  <si>
    <t>How to use it</t>
  </si>
  <si>
    <t>Key simplifications / assumptions</t>
  </si>
  <si>
    <t>- Single settlement period. Real contracts settle period-by-period across a term; mechanics shown here are per-period.</t>
  </si>
  <si>
    <t>- 'Own merchant revenue' (project generation x project DWA) is shown as a memo item outside both swaps, to show total seller cash flow.</t>
  </si>
  <si>
    <t>- DWA swap notional volume is scaled to the reference fleet's realised output per MW, multiplied by contracted MW.</t>
  </si>
  <si>
    <t>- Revenue swap settlement nets a fixed $/MW payment against the reference fleet's realised revenue per MW, scaled to contracted MW.</t>
  </si>
  <si>
    <t>- No transaction costs, credit risk, tax, or discounting are included — this isolates settlement mechanics only.</t>
  </si>
  <si>
    <t>Inputs</t>
  </si>
  <si>
    <t>Project (seller's own asset)</t>
  </si>
  <si>
    <t>Project capacity (MW)</t>
  </si>
  <si>
    <t>Project capacity factor (%)</t>
  </si>
  <si>
    <t>Project generation (MWh, period)</t>
  </si>
  <si>
    <t>Project DWA price ($/MWh)</t>
  </si>
  <si>
    <t>Project MWh/MW</t>
  </si>
  <si>
    <t>Reference / average fleet</t>
  </si>
  <si>
    <t>Reference fleet capacity (MW)</t>
  </si>
  <si>
    <t>Reference fleet capacity factor (%)</t>
  </si>
  <si>
    <t>Reference fleet generation (MWh, period)</t>
  </si>
  <si>
    <t>Reference fleet DWA price ($/MWh)</t>
  </si>
  <si>
    <t>Reference fleet MWh/MW</t>
  </si>
  <si>
    <t>Contract terms</t>
  </si>
  <si>
    <t>DWA Price swap</t>
  </si>
  <si>
    <t>DWA swap strike price ($/MWh)</t>
  </si>
  <si>
    <t>DWA swap volume contracted</t>
  </si>
  <si>
    <t>Revenue swap</t>
  </si>
  <si>
    <t>Contracted proportion of project capacity (%)</t>
  </si>
  <si>
    <t>Contracted / notional MW</t>
  </si>
  <si>
    <t>Revenue swap fixed rate ($/MW, period)</t>
  </si>
  <si>
    <t>Seller position</t>
  </si>
  <si>
    <t>Project revenue ($/MW)</t>
  </si>
  <si>
    <t>Reference revenue ($)</t>
  </si>
  <si>
    <t>Reference revenue ($/MW)</t>
  </si>
  <si>
    <t>Notional volume (MWh)</t>
  </si>
  <si>
    <t>DWA strike price ($/MWh)</t>
  </si>
  <si>
    <t>Price differential: Strike - Reference DWA ($/MWh)</t>
  </si>
  <si>
    <t>DWA swap settlement ($)</t>
  </si>
  <si>
    <t>Seller net position - PPA ($)</t>
  </si>
  <si>
    <t>Seller net position - DWA swap ($)</t>
  </si>
  <si>
    <t>Reference fleet revenue ($/MW)</t>
  </si>
  <si>
    <t>Strike revenue ($/MW)</t>
  </si>
  <si>
    <t>Revenue differential: Strike - Reference ($/MW)</t>
  </si>
  <si>
    <t>Revenue swap settlement ($)</t>
  </si>
  <si>
    <t>Seller net position - Revenue swap ($)</t>
  </si>
  <si>
    <t>Strike price ($/MWh)</t>
  </si>
  <si>
    <t>Seller net position - Ref. PPA ($)</t>
  </si>
  <si>
    <t>Buyer position</t>
  </si>
  <si>
    <t>Generation purchased</t>
  </si>
  <si>
    <t>Equivalent DWA price ($/MWh)</t>
  </si>
  <si>
    <t>Wholesale costs ($)</t>
  </si>
  <si>
    <t>Contract settlement ($)</t>
  </si>
  <si>
    <t>Net costs - merchant</t>
  </si>
  <si>
    <t>Net costs - DWA price swap</t>
  </si>
  <si>
    <t>Net costs - revenue swap</t>
  </si>
  <si>
    <t>Reference PPA</t>
  </si>
  <si>
    <t>Net costs - Reference PPA</t>
  </si>
  <si>
    <t>Reference PPA settlement ($)</t>
  </si>
  <si>
    <t>This is a simplified, illustrative tool of how the 'bulk energy' contract structures settle for a single period (e.g. a quarter). It is built to show HOW volume and price differences between a project's own performance and a reference/average fleet flow through to seller settlement under each contract — it is not a reproduction of the official contract terms, which remain subject to Working Group's consideration.</t>
  </si>
  <si>
    <r>
      <rPr>
        <b/>
        <sz val="11"/>
        <color theme="1"/>
        <rFont val="Arial Nova"/>
        <family val="2"/>
      </rPr>
      <t>Copyright</t>
    </r>
    <r>
      <rPr>
        <sz val="11"/>
        <color theme="1"/>
        <rFont val="Arial Nova"/>
        <family val="2"/>
      </rPr>
      <t xml:space="preserve">
© 2026 AusEnergy Services Limited</t>
    </r>
  </si>
  <si>
    <r>
      <rPr>
        <b/>
        <sz val="11"/>
        <color theme="1"/>
        <rFont val="Arial Nova"/>
        <family val="2"/>
      </rPr>
      <t>Disclaimer:</t>
    </r>
    <r>
      <rPr>
        <sz val="11"/>
        <color theme="1"/>
        <rFont val="Arial Nova"/>
        <family val="2"/>
      </rPr>
      <t xml:space="preserve">
This document does not constitute legal or business advice and should not be relied on as a substitute for obtaining detailed advice about the National Electricity Law, the National Electricity Rules, or any other applicable laws, regulations, procedures or policies or independent market forecasts.
AusEnergy Services Limited (ASL) has made every effort to ensure the quality of the information in this document but cannot guarantee the completeness, accuracy, adequacy or currency of that information. Accordingly, to the maximum extent permitted by law, ASL and its officers, employees and consultants involved in the preparation of this document:
- make no representation or warranty, express or implied, as to the currency, accuracy, reliability or completeness of the information in this document; and 
- are not liable (whether by reason of negligence or otherwise) for any statements or representations in this document, or any omissions from it, or for any use or reliance on the information in it.
This document includes generic input values which are not intended to represent real or indicative values. This tool has been made for the purpose of supporting comparison between the different contract structures under consideration by the Working Group and do not represent ASL’s view of actual or potential project characteristics, costs or revenue requirements.</t>
    </r>
  </si>
  <si>
    <t>Calculation Period (hours)</t>
  </si>
  <si>
    <t>Input set to equivalent to DWA swap price</t>
  </si>
  <si>
    <t>Input set to the same as the DWA strike price</t>
  </si>
  <si>
    <t>Set to quarterly</t>
  </si>
  <si>
    <t>- Assume buyer needs to purchase the same volume of energy as contracted under the DWA price swap</t>
  </si>
  <si>
    <t xml:space="preserve">Scenario </t>
  </si>
  <si>
    <t>Description</t>
  </si>
  <si>
    <t>Project and reference are matched.</t>
  </si>
  <si>
    <t>Project obtains a lower DWAP than the reference.</t>
  </si>
  <si>
    <t>Project obtains a higher DWAP than the reference.</t>
  </si>
  <si>
    <t>Project output is less than the reference.</t>
  </si>
  <si>
    <t>Project output is more than the reference.</t>
  </si>
  <si>
    <t>Project suffers a severe FM event which prevents most output.</t>
  </si>
  <si>
    <t>Volume Change %</t>
  </si>
  <si>
    <t>DWAP Change %</t>
  </si>
  <si>
    <t>Project</t>
  </si>
  <si>
    <t>Base Case</t>
  </si>
  <si>
    <t>Scenario Builder</t>
  </si>
  <si>
    <t>PPA</t>
  </si>
  <si>
    <t>Project merchant revenue ($)</t>
  </si>
  <si>
    <t>Project generation volume (MWh)</t>
  </si>
  <si>
    <t>Reference fleet generation volume (MWh)</t>
  </si>
  <si>
    <t>Reference fleet generation volume per MW (MWh/MW)</t>
  </si>
  <si>
    <t>PPA strike price ($/MWh)</t>
  </si>
  <si>
    <t>Low volume and high prices, impacting project and reference equally</t>
  </si>
  <si>
    <t>User to input</t>
  </si>
  <si>
    <t>PPA swap settlement ($)</t>
  </si>
  <si>
    <t>Buyer net position - PPA ($)</t>
  </si>
  <si>
    <t>Price differential: Strike - Project DWA ($/MWh)</t>
  </si>
  <si>
    <t>Project volume (MWh)</t>
  </si>
  <si>
    <t>High volume and low prices, project performs better than the reference</t>
  </si>
  <si>
    <t>High volume and low prices, project performs worse than the reference</t>
  </si>
  <si>
    <t>Low volume and high prices, project performs better than the reference</t>
  </si>
  <si>
    <t>Low volume and high prices, project performs worse than the reference</t>
  </si>
  <si>
    <t>Merchant</t>
  </si>
  <si>
    <t>Reference Fleet</t>
  </si>
  <si>
    <t>&lt;&lt; Edit cells in orange to adapt the scenario from the Base Case. We have pre-filled with several 'stress-test' type scenarios.</t>
  </si>
  <si>
    <t>Bulk Energy Contract Structures: Settlement Comparison Tool</t>
  </si>
  <si>
    <t>1. Go to the 'Inputs' section. Enter the project's own capacity, generation, and DWA price for the period.</t>
  </si>
  <si>
    <t>2. Enter the reference/average fleet's capacity, generation, and DWA price for the same period.</t>
  </si>
  <si>
    <t>3. Enter the contracted (notional) MW, the DWA swap strike price, and the revenue swap's fixed $/MW rate.</t>
  </si>
  <si>
    <t>4. Go to 'Scenario Builder' to review and alter the pre-set scenarios. compare a Matched base case with various scenarios</t>
  </si>
  <si>
    <t>&lt;&lt; Edit cells in orange to adjust input parameters.</t>
  </si>
  <si>
    <t>- This is an analytical illustration to support directional comparisons, not a valuation or bankability model.</t>
  </si>
  <si>
    <t>Reference fleet</t>
  </si>
  <si>
    <t>High volume and low prices, impacting project and reference equally</t>
  </si>
  <si>
    <t>Contracted %</t>
  </si>
  <si>
    <t>Scenario 3: Project Volume &lt; Reference Volume</t>
  </si>
  <si>
    <t>Scenario 4: Project Volume &gt;  Reference Volume</t>
  </si>
  <si>
    <t xml:space="preserve">Scenario 1: Project DWAP &lt; Reference DWAP </t>
  </si>
  <si>
    <t>Scenario 2: Project DWAP &gt; Reference DWAP</t>
  </si>
  <si>
    <t>Scenario 5: FM Event</t>
  </si>
  <si>
    <t>Senario 6: VRE Drought</t>
  </si>
  <si>
    <t>Scenario 7: VRE drought, project underperforms</t>
  </si>
  <si>
    <t>Scenario 8: VRE drought, project overperforms</t>
  </si>
  <si>
    <t>Scenario 9: VRE oversupply</t>
  </si>
  <si>
    <t>Scenario 10: VRE oversupply, project underperforms</t>
  </si>
  <si>
    <t>Scenario 11: VRE oversupply, project overperforms</t>
  </si>
  <si>
    <t>Scenario 12: Blank</t>
  </si>
  <si>
    <t>All cells are automatically calculated based on the scenarios. &gt;&gt;</t>
  </si>
  <si>
    <t>Bulk Energy Contract Structures Settlement Comparison Tool</t>
  </si>
  <si>
    <t>5. Review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</si>
</sst>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quot;($&quot;#,##0.00\);\-"/>
    <numFmt numFmtId="167" formatCode="\$#,##0;&quot;($&quot;#,##0\);\-"/>
  </numFmts>
  <fonts count="33" x14ac:knownFonts="1">
    <font>
      <sz val="11"/>
      <color theme="1"/>
      <name val="Calibri"/>
      <family val="2"/>
      <charset val="1"/>
    </font>
    <font>
      <sz val="10"/>
      <name val="Arial"/>
      <family val="2"/>
    </font>
    <font>
      <b/>
      <sz val="11"/>
      <name val="Arial"/>
      <family val="2"/>
    </font>
    <font>
      <sz val="11"/>
      <color rgb="FF3F3F76"/>
      <name val="Calibri"/>
      <family val="2"/>
      <scheme val="minor"/>
    </font>
    <font>
      <sz val="11"/>
      <color theme="1"/>
      <name val="Calibri"/>
      <family val="2"/>
      <charset val="1"/>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rgb="FF3F3F3F"/>
      <name val="Calibri"/>
      <family val="2"/>
      <scheme val="minor"/>
    </font>
    <font>
      <b/>
      <sz val="11"/>
      <color rgb="FFFA7D00"/>
      <name val="Calibri"/>
      <family val="2"/>
      <scheme val="minor"/>
    </font>
    <font>
      <i/>
      <sz val="11"/>
      <color rgb="FF7F7F7F"/>
      <name val="Calibri"/>
      <family val="2"/>
      <scheme val="minor"/>
    </font>
    <font>
      <sz val="11"/>
      <color theme="1"/>
      <name val="Arial Nova"/>
      <family val="2"/>
    </font>
    <font>
      <b/>
      <sz val="10"/>
      <name val="Arial Nova"/>
      <family val="2"/>
    </font>
    <font>
      <sz val="10"/>
      <name val="Arial Nova"/>
      <family val="2"/>
    </font>
    <font>
      <b/>
      <sz val="11"/>
      <color theme="1"/>
      <name val="Arial Nova"/>
      <family val="2"/>
    </font>
    <font>
      <sz val="11"/>
      <name val="Arial Nova"/>
      <family val="2"/>
    </font>
    <font>
      <b/>
      <sz val="11"/>
      <name val="Arial Nova"/>
      <family val="2"/>
    </font>
    <font>
      <sz val="11"/>
      <color rgb="FF3F3F76"/>
      <name val="Arial Nova"/>
      <family val="2"/>
    </font>
    <font>
      <b/>
      <sz val="11"/>
      <color rgb="FFFA7D00"/>
      <name val="Arial Nova"/>
      <family val="2"/>
    </font>
    <font>
      <sz val="10"/>
      <color rgb="FF000000"/>
      <name val="Arial Nova"/>
      <family val="2"/>
    </font>
    <font>
      <b/>
      <sz val="13"/>
      <color theme="3"/>
      <name val="Arial Nova"/>
      <family val="2"/>
    </font>
    <font>
      <b/>
      <sz val="11"/>
      <color theme="3"/>
      <name val="Arial Nova"/>
      <family val="2"/>
    </font>
    <font>
      <i/>
      <sz val="11"/>
      <color rgb="FF7F7F7F"/>
      <name val="Arial Nova"/>
      <family val="2"/>
    </font>
    <font>
      <sz val="11"/>
      <color rgb="FF000000"/>
      <name val="Arial Nova"/>
      <family val="2"/>
    </font>
    <font>
      <sz val="10"/>
      <color theme="1"/>
      <name val="Arial Nova"/>
      <family val="2"/>
    </font>
    <font>
      <b/>
      <sz val="11"/>
      <color rgb="FF3F3F3F"/>
      <name val="Arial Nova"/>
      <family val="2"/>
    </font>
    <font>
      <sz val="10"/>
      <color rgb="FF3F3F76"/>
      <name val="Calibri"/>
      <family val="2"/>
      <scheme val="minor"/>
    </font>
    <font>
      <b/>
      <sz val="10"/>
      <color theme="1"/>
      <name val="Arial Nova"/>
      <family val="2"/>
    </font>
    <font>
      <b/>
      <sz val="10"/>
      <color rgb="FFFA7D00"/>
      <name val="Calibri"/>
      <family val="2"/>
      <scheme val="minor"/>
    </font>
    <font>
      <b/>
      <sz val="10"/>
      <color theme="3"/>
      <name val="Arial Nova"/>
      <family val="2"/>
    </font>
    <font>
      <b/>
      <sz val="30"/>
      <color theme="3"/>
      <name val="Arial Nova"/>
      <family val="2"/>
    </font>
    <font>
      <b/>
      <sz val="30"/>
      <color theme="3"/>
      <name val="Calibri"/>
      <family val="2"/>
      <scheme val="minor"/>
    </font>
  </fonts>
  <fills count="7">
    <fill>
      <patternFill patternType="none"/>
    </fill>
    <fill>
      <patternFill patternType="gray125"/>
    </fill>
    <fill>
      <patternFill patternType="solid">
        <fgColor rgb="FFFFCC99"/>
      </patternFill>
    </fill>
    <fill>
      <patternFill patternType="solid">
        <fgColor rgb="FFF2F2F2"/>
      </patternFill>
    </fill>
    <fill>
      <patternFill patternType="solid">
        <fgColor rgb="FFFFFFCC"/>
      </patternFill>
    </fill>
    <fill>
      <patternFill patternType="solid">
        <fgColor theme="0"/>
        <bgColor rgb="FF4F81BD"/>
      </patternFill>
    </fill>
    <fill>
      <patternFill patternType="solid">
        <fgColor theme="0"/>
        <bgColor indexed="64"/>
      </patternFill>
    </fill>
  </fills>
  <borders count="17">
    <border>
      <left/>
      <right/>
      <top/>
      <bottom/>
      <diagonal/>
    </border>
    <border>
      <left style="thin">
        <color rgb="FFBFBFBF"/>
      </left>
      <right style="thin">
        <color rgb="FFBFBFBF"/>
      </right>
      <top style="thin">
        <color rgb="FFBFBFBF"/>
      </top>
      <bottom style="thin">
        <color rgb="FFBFBFBF"/>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style="thin">
        <color rgb="FF7F7F7F"/>
      </right>
      <top style="thin">
        <color rgb="FF7F7F7F"/>
      </top>
      <bottom style="thin">
        <color rgb="FF7F7F7F"/>
      </bottom>
      <diagonal/>
    </border>
    <border>
      <left/>
      <right style="thin">
        <color rgb="FF7F7F7F"/>
      </right>
      <top/>
      <bottom style="thin">
        <color rgb="FF7F7F7F"/>
      </bottom>
      <diagonal/>
    </border>
    <border>
      <left style="thin">
        <color rgb="FF7F7F7F"/>
      </left>
      <right style="thin">
        <color rgb="FF7F7F7F"/>
      </right>
      <top/>
      <bottom style="thin">
        <color rgb="FF7F7F7F"/>
      </bottom>
      <diagonal/>
    </border>
    <border>
      <left style="thin">
        <color rgb="FF7F7F7F"/>
      </left>
      <right/>
      <top style="thin">
        <color rgb="FFB2B2B2"/>
      </top>
      <bottom/>
      <diagonal/>
    </border>
    <border>
      <left/>
      <right/>
      <top style="thin">
        <color rgb="FFB2B2B2"/>
      </top>
      <bottom/>
      <diagonal/>
    </border>
    <border>
      <left/>
      <right style="thin">
        <color rgb="FFB2B2B2"/>
      </right>
      <top style="thin">
        <color rgb="FFB2B2B2"/>
      </top>
      <bottom/>
      <diagonal/>
    </border>
    <border>
      <left style="thin">
        <color rgb="FF7F7F7F"/>
      </left>
      <right/>
      <top/>
      <bottom style="thin">
        <color rgb="FFB2B2B2"/>
      </bottom>
      <diagonal/>
    </border>
    <border>
      <left/>
      <right/>
      <top/>
      <bottom style="thin">
        <color rgb="FFB2B2B2"/>
      </bottom>
      <diagonal/>
    </border>
    <border>
      <left/>
      <right style="thin">
        <color rgb="FFB2B2B2"/>
      </right>
      <top/>
      <bottom style="thin">
        <color rgb="FFB2B2B2"/>
      </bottom>
      <diagonal/>
    </border>
  </borders>
  <cellStyleXfs count="10">
    <xf numFmtId="0" fontId="0" fillId="0" borderId="0"/>
    <xf numFmtId="0" fontId="3" fillId="2" borderId="2" applyNumberFormat="0" applyAlignment="0" applyProtection="0"/>
    <xf numFmtId="0" fontId="5"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9" fillId="3" borderId="6" applyNumberFormat="0" applyAlignment="0" applyProtection="0"/>
    <xf numFmtId="0" fontId="10" fillId="3" borderId="2" applyNumberFormat="0" applyAlignment="0" applyProtection="0"/>
    <xf numFmtId="0" fontId="4" fillId="4" borderId="7" applyNumberFormat="0" applyFont="0" applyAlignment="0" applyProtection="0"/>
    <xf numFmtId="0" fontId="11" fillId="0" borderId="0" applyNumberFormat="0" applyFill="0" applyBorder="0" applyAlignment="0" applyProtection="0"/>
  </cellStyleXfs>
  <cellXfs count="74">
    <xf numFmtId="0" fontId="0" fillId="0" borderId="0" xfId="0"/>
    <xf numFmtId="0" fontId="12" fillId="0" borderId="0" xfId="0" applyFont="1"/>
    <xf numFmtId="0" fontId="2" fillId="0" borderId="0" xfId="0" applyFont="1"/>
    <xf numFmtId="0" fontId="17" fillId="0" borderId="0" xfId="0" applyFont="1"/>
    <xf numFmtId="164" fontId="10" fillId="3" borderId="2" xfId="7" applyNumberFormat="1"/>
    <xf numFmtId="164" fontId="18" fillId="2" borderId="2" xfId="1" applyNumberFormat="1" applyFont="1"/>
    <xf numFmtId="9" fontId="18" fillId="2" borderId="2" xfId="1" applyNumberFormat="1" applyFont="1"/>
    <xf numFmtId="164" fontId="19" fillId="3" borderId="2" xfId="7" applyNumberFormat="1" applyFont="1"/>
    <xf numFmtId="3" fontId="19" fillId="3" borderId="2" xfId="7" applyNumberFormat="1" applyFont="1"/>
    <xf numFmtId="166" fontId="18" fillId="2" borderId="2" xfId="1" applyNumberFormat="1" applyFont="1"/>
    <xf numFmtId="165" fontId="18" fillId="2" borderId="2" xfId="1" applyNumberFormat="1" applyFont="1"/>
    <xf numFmtId="167" fontId="18" fillId="2" borderId="2" xfId="1" applyNumberFormat="1" applyFont="1"/>
    <xf numFmtId="0" fontId="21" fillId="5" borderId="4" xfId="4" applyFont="1" applyFill="1" applyAlignment="1">
      <alignment horizontal="left" vertical="center"/>
    </xf>
    <xf numFmtId="0" fontId="23" fillId="0" borderId="0" xfId="9" quotePrefix="1" applyFont="1"/>
    <xf numFmtId="0" fontId="16" fillId="0" borderId="0" xfId="0" applyFont="1"/>
    <xf numFmtId="164" fontId="24" fillId="0" borderId="1" xfId="0" applyNumberFormat="1" applyFont="1" applyBorder="1"/>
    <xf numFmtId="167" fontId="10" fillId="3" borderId="2" xfId="7" applyNumberFormat="1"/>
    <xf numFmtId="0" fontId="14" fillId="0" borderId="0" xfId="0" applyFont="1"/>
    <xf numFmtId="167" fontId="19" fillId="3" borderId="2" xfId="7" applyNumberFormat="1" applyFont="1"/>
    <xf numFmtId="167" fontId="20" fillId="0" borderId="0" xfId="0" applyNumberFormat="1" applyFont="1"/>
    <xf numFmtId="164" fontId="20" fillId="0" borderId="0" xfId="0" applyNumberFormat="1" applyFont="1"/>
    <xf numFmtId="167" fontId="20" fillId="6" borderId="0" xfId="0" applyNumberFormat="1" applyFont="1" applyFill="1"/>
    <xf numFmtId="164" fontId="20" fillId="6" borderId="0" xfId="0" applyNumberFormat="1" applyFont="1" applyFill="1"/>
    <xf numFmtId="0" fontId="12" fillId="6" borderId="0" xfId="0" applyFont="1" applyFill="1"/>
    <xf numFmtId="167" fontId="9" fillId="3" borderId="6" xfId="6" applyNumberFormat="1"/>
    <xf numFmtId="0" fontId="22" fillId="0" borderId="0" xfId="5" applyFont="1" applyBorder="1"/>
    <xf numFmtId="0" fontId="21" fillId="5" borderId="4" xfId="4" applyFont="1" applyFill="1" applyAlignment="1">
      <alignment vertical="center"/>
    </xf>
    <xf numFmtId="0" fontId="7" fillId="5" borderId="4" xfId="4" applyFill="1" applyAlignment="1">
      <alignment vertical="center"/>
    </xf>
    <xf numFmtId="0" fontId="22" fillId="0" borderId="0" xfId="5" applyFont="1" applyFill="1" applyBorder="1" applyAlignment="1">
      <alignment horizontal="left" vertical="top" wrapText="1"/>
    </xf>
    <xf numFmtId="0" fontId="25" fillId="0" borderId="0" xfId="0" applyFont="1"/>
    <xf numFmtId="167" fontId="26" fillId="3" borderId="6" xfId="6" applyNumberFormat="1" applyFont="1"/>
    <xf numFmtId="0" fontId="21" fillId="0" borderId="4" xfId="4" applyFont="1" applyFill="1" applyAlignment="1">
      <alignment vertical="center"/>
    </xf>
    <xf numFmtId="164" fontId="19" fillId="0" borderId="2" xfId="7" applyNumberFormat="1" applyFont="1" applyFill="1"/>
    <xf numFmtId="167" fontId="19" fillId="0" borderId="2" xfId="7" applyNumberFormat="1" applyFont="1" applyFill="1"/>
    <xf numFmtId="0" fontId="22" fillId="0" borderId="0" xfId="5" applyFont="1" applyFill="1" applyBorder="1"/>
    <xf numFmtId="0" fontId="7" fillId="0" borderId="4" xfId="4"/>
    <xf numFmtId="0" fontId="7" fillId="5" borderId="0" xfId="4" applyFill="1" applyBorder="1" applyAlignment="1">
      <alignment vertical="center"/>
    </xf>
    <xf numFmtId="0" fontId="7" fillId="0" borderId="0" xfId="4" applyBorder="1"/>
    <xf numFmtId="0" fontId="25" fillId="5" borderId="0" xfId="5" applyFont="1" applyFill="1" applyBorder="1" applyAlignment="1">
      <alignment horizontal="left" vertical="top" wrapText="1"/>
    </xf>
    <xf numFmtId="0" fontId="25" fillId="0" borderId="0" xfId="0" applyFont="1" applyAlignment="1">
      <alignment horizontal="left" vertical="center"/>
    </xf>
    <xf numFmtId="9" fontId="27" fillId="2" borderId="9" xfId="1" applyNumberFormat="1" applyFont="1" applyBorder="1"/>
    <xf numFmtId="9" fontId="27" fillId="2" borderId="10" xfId="1" applyNumberFormat="1" applyFont="1" applyBorder="1"/>
    <xf numFmtId="9" fontId="27" fillId="2" borderId="8" xfId="1" applyNumberFormat="1" applyFont="1" applyBorder="1"/>
    <xf numFmtId="9" fontId="27" fillId="2" borderId="2" xfId="1" applyNumberFormat="1" applyFont="1"/>
    <xf numFmtId="0" fontId="25" fillId="0" borderId="0" xfId="0" applyFont="1" applyAlignment="1">
      <alignment vertical="center"/>
    </xf>
    <xf numFmtId="0" fontId="28" fillId="0" borderId="0" xfId="0" applyFont="1"/>
    <xf numFmtId="164" fontId="29" fillId="3" borderId="2" xfId="7" applyNumberFormat="1" applyFont="1"/>
    <xf numFmtId="0" fontId="30" fillId="0" borderId="0" xfId="5" applyFont="1" applyFill="1" applyBorder="1" applyAlignment="1">
      <alignment horizontal="left" vertical="top" wrapText="1"/>
    </xf>
    <xf numFmtId="0" fontId="30" fillId="5" borderId="0" xfId="5" applyFont="1" applyFill="1" applyBorder="1" applyAlignment="1">
      <alignment horizontal="left" vertical="top" wrapText="1"/>
    </xf>
    <xf numFmtId="0" fontId="6" fillId="0" borderId="0" xfId="3" applyFill="1" applyBorder="1" applyAlignment="1">
      <alignment horizontal="left" vertical="center"/>
    </xf>
    <xf numFmtId="164" fontId="18" fillId="2" borderId="10" xfId="1" applyNumberFormat="1" applyFont="1" applyBorder="1"/>
    <xf numFmtId="0" fontId="5" fillId="0" borderId="0" xfId="2" applyFill="1" applyBorder="1" applyAlignment="1">
      <alignment horizontal="left" vertical="center"/>
    </xf>
    <xf numFmtId="0" fontId="13" fillId="4" borderId="7" xfId="8" applyFont="1" applyAlignment="1">
      <alignment horizontal="left" vertical="center" wrapText="1"/>
    </xf>
    <xf numFmtId="0" fontId="16" fillId="0" borderId="0" xfId="0" applyFont="1" applyAlignment="1">
      <alignment wrapText="1"/>
    </xf>
    <xf numFmtId="0" fontId="12" fillId="0" borderId="0" xfId="0" applyFont="1" applyAlignment="1">
      <alignment wrapText="1"/>
    </xf>
    <xf numFmtId="0" fontId="32" fillId="0" borderId="3" xfId="3" applyFont="1" applyFill="1" applyAlignment="1">
      <alignment horizontal="left" vertical="center"/>
    </xf>
    <xf numFmtId="0" fontId="12" fillId="0" borderId="0" xfId="0" applyFont="1" applyAlignment="1">
      <alignment horizontal="left" vertical="center" wrapText="1"/>
    </xf>
    <xf numFmtId="0" fontId="12" fillId="0" borderId="0" xfId="0" applyFont="1" applyAlignment="1">
      <alignment horizontal="left" vertical="top" wrapText="1"/>
    </xf>
    <xf numFmtId="0" fontId="12" fillId="0" borderId="0" xfId="0" applyFont="1" applyAlignment="1">
      <alignment horizontal="left" vertical="top"/>
    </xf>
    <xf numFmtId="0" fontId="12" fillId="0" borderId="0" xfId="0" applyFont="1" applyAlignment="1">
      <alignment horizontal="left" vertical="center"/>
    </xf>
    <xf numFmtId="0" fontId="12" fillId="0" borderId="0" xfId="0" quotePrefix="1" applyFont="1" applyAlignment="1">
      <alignment wrapText="1"/>
    </xf>
    <xf numFmtId="0" fontId="12" fillId="0" borderId="0" xfId="0" quotePrefix="1" applyFont="1" applyAlignment="1">
      <alignment horizontal="left" wrapText="1"/>
    </xf>
    <xf numFmtId="0" fontId="21" fillId="5" borderId="4" xfId="4" applyFont="1" applyFill="1" applyAlignment="1">
      <alignment horizontal="left" vertical="center"/>
    </xf>
    <xf numFmtId="0" fontId="28" fillId="4" borderId="7" xfId="8" quotePrefix="1" applyFont="1" applyAlignment="1">
      <alignment horizontal="left" vertical="center" wrapText="1"/>
    </xf>
    <xf numFmtId="0" fontId="31" fillId="0" borderId="3" xfId="3" applyFont="1" applyFill="1" applyAlignment="1">
      <alignment horizontal="left" vertical="center"/>
    </xf>
    <xf numFmtId="0" fontId="8" fillId="5" borderId="0" xfId="5" applyFill="1" applyBorder="1" applyAlignment="1">
      <alignment horizontal="left" vertical="center"/>
    </xf>
    <xf numFmtId="0" fontId="28" fillId="4" borderId="11" xfId="8" quotePrefix="1" applyFont="1" applyBorder="1" applyAlignment="1">
      <alignment horizontal="left" vertical="center" wrapText="1"/>
    </xf>
    <xf numFmtId="0" fontId="28" fillId="4" borderId="12" xfId="8" quotePrefix="1" applyFont="1" applyBorder="1" applyAlignment="1">
      <alignment horizontal="left" vertical="center" wrapText="1"/>
    </xf>
    <xf numFmtId="0" fontId="28" fillId="4" borderId="13" xfId="8" quotePrefix="1" applyFont="1" applyBorder="1" applyAlignment="1">
      <alignment horizontal="left" vertical="center" wrapText="1"/>
    </xf>
    <xf numFmtId="0" fontId="28" fillId="4" borderId="14" xfId="8" quotePrefix="1" applyFont="1" applyBorder="1" applyAlignment="1">
      <alignment horizontal="left" vertical="center" wrapText="1"/>
    </xf>
    <xf numFmtId="0" fontId="28" fillId="4" borderId="15" xfId="8" quotePrefix="1" applyFont="1" applyBorder="1" applyAlignment="1">
      <alignment horizontal="left" vertical="center" wrapText="1"/>
    </xf>
    <xf numFmtId="0" fontId="28" fillId="4" borderId="16" xfId="8" quotePrefix="1" applyFont="1" applyBorder="1" applyAlignment="1">
      <alignment horizontal="left" vertical="center" wrapText="1"/>
    </xf>
    <xf numFmtId="0" fontId="28" fillId="0" borderId="0" xfId="0" applyFont="1" applyAlignment="1">
      <alignment horizontal="left"/>
    </xf>
    <xf numFmtId="0" fontId="28" fillId="0" borderId="0" xfId="0" applyFont="1" applyAlignment="1">
      <alignment horizontal="center"/>
    </xf>
  </cellXfs>
  <cellStyles count="10">
    <cellStyle name="Calculation" xfId="7" builtinId="22"/>
    <cellStyle name="Explanatory Text" xfId="9" builtinId="53"/>
    <cellStyle name="Heading 1" xfId="3" builtinId="16"/>
    <cellStyle name="Heading 2" xfId="4" builtinId="17"/>
    <cellStyle name="Heading 3" xfId="5" builtinId="18"/>
    <cellStyle name="Input" xfId="1" builtinId="20"/>
    <cellStyle name="Normal" xfId="0" builtinId="0"/>
    <cellStyle name="Note" xfId="8" builtinId="10"/>
    <cellStyle name="Output" xfId="6" builtinId="21"/>
    <cellStyle name="Title" xfId="2" builtinId="15"/>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C0504D"/>
      <rgbColor rgb="FFF9F9F9"/>
      <rgbColor rgb="FFC6E0B4"/>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FCC99"/>
      <rgbColor rgb="FF4472C4"/>
      <rgbColor rgb="FF33CCCC"/>
      <rgbColor rgb="FF99CC00"/>
      <rgbColor rgb="FFFFCC00"/>
      <rgbColor rgb="FFFF9900"/>
      <rgbColor rgb="FFFF6600"/>
      <rgbColor rgb="FF4F81BD"/>
      <rgbColor rgb="FF878787"/>
      <rgbColor rgb="FF1F4E5F"/>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1F4E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tx1"/>
                </a:solidFill>
                <a:latin typeface="Arial Nova" panose="020F0502020204030204" pitchFamily="34" charset="0"/>
                <a:ea typeface="+mn-ea"/>
                <a:cs typeface="+mn-cs"/>
              </a:defRPr>
            </a:pPr>
            <a:r>
              <a:rPr lang="en-AU"/>
              <a:t>Seller Net</a:t>
            </a:r>
            <a:r>
              <a:rPr lang="en-AU" baseline="0"/>
              <a:t> Cash-Flow</a:t>
            </a:r>
            <a:r>
              <a:rPr lang="en-AU"/>
              <a:t> by Scenario</a:t>
            </a:r>
          </a:p>
        </c:rich>
      </c:tx>
      <c:overlay val="0"/>
      <c:spPr>
        <a:noFill/>
        <a:ln w="0">
          <a:noFill/>
        </a:ln>
        <a:effectLst/>
      </c:spPr>
      <c:txPr>
        <a:bodyPr rot="0" spcFirstLastPara="1" vertOverflow="ellipsis" vert="horz" wrap="square" anchor="ctr" anchorCtr="1"/>
        <a:lstStyle/>
        <a:p>
          <a:pPr>
            <a:defRPr sz="1800" b="1" i="0" u="none" strike="noStrike" kern="1200" baseline="0">
              <a:solidFill>
                <a:schemeClr val="tx1"/>
              </a:solidFill>
              <a:latin typeface="Arial Nova" panose="020F0502020204030204" pitchFamily="34" charset="0"/>
              <a:ea typeface="+mn-ea"/>
              <a:cs typeface="+mn-cs"/>
            </a:defRPr>
          </a:pPr>
          <a:endParaRPr lang="en-US"/>
        </a:p>
      </c:txPr>
    </c:title>
    <c:autoTitleDeleted val="0"/>
    <c:plotArea>
      <c:layout/>
      <c:barChart>
        <c:barDir val="col"/>
        <c:grouping val="clustered"/>
        <c:varyColors val="0"/>
        <c:ser>
          <c:idx val="4"/>
          <c:order val="0"/>
          <c:tx>
            <c:v>Merchant</c:v>
          </c:tx>
          <c:spPr>
            <a:solidFill>
              <a:schemeClr val="accent5"/>
            </a:solidFill>
            <a:ln>
              <a:noFill/>
            </a:ln>
            <a:effectLst/>
          </c:spPr>
          <c:invertIfNegative val="0"/>
          <c:val>
            <c:numRef>
              <c:f>'Ilustrative Comparison Tool'!$D$71:$O$71</c:f>
              <c:numCache>
                <c:formatCode>\$#,##0;"($"#,##0\);\-</c:formatCode>
                <c:ptCount val="12"/>
                <c:pt idx="0">
                  <c:v>8409600</c:v>
                </c:pt>
                <c:pt idx="1">
                  <c:v>12614400</c:v>
                </c:pt>
                <c:pt idx="2">
                  <c:v>8409600</c:v>
                </c:pt>
                <c:pt idx="3">
                  <c:v>12614400</c:v>
                </c:pt>
                <c:pt idx="4">
                  <c:v>3679200</c:v>
                </c:pt>
                <c:pt idx="5" formatCode="#,##0;\(#,##0\);\-">
                  <c:v>7884000</c:v>
                </c:pt>
                <c:pt idx="6">
                  <c:v>7568640</c:v>
                </c:pt>
                <c:pt idx="7">
                  <c:v>9565919.9999999981</c:v>
                </c:pt>
                <c:pt idx="8">
                  <c:v>11037600</c:v>
                </c:pt>
                <c:pt idx="9">
                  <c:v>8830079.9999999981</c:v>
                </c:pt>
                <c:pt idx="10">
                  <c:v>12614400</c:v>
                </c:pt>
                <c:pt idx="11">
                  <c:v>0</c:v>
                </c:pt>
              </c:numCache>
            </c:numRef>
          </c:val>
          <c:extLst>
            <c:ext xmlns:c16="http://schemas.microsoft.com/office/drawing/2014/chart" uri="{C3380CC4-5D6E-409C-BE32-E72D297353CC}">
              <c16:uniqueId val="{00000000-0726-4D5E-9649-0AF88933BBFE}"/>
            </c:ext>
          </c:extLst>
        </c:ser>
        <c:ser>
          <c:idx val="3"/>
          <c:order val="1"/>
          <c:tx>
            <c:strRef>
              <c:f>'Ilustrative Comparison Tool'!$B$74</c:f>
              <c:strCache>
                <c:ptCount val="1"/>
                <c:pt idx="0">
                  <c:v>PPA</c:v>
                </c:pt>
              </c:strCache>
            </c:strRef>
          </c:tx>
          <c:spPr>
            <a:solidFill>
              <a:schemeClr val="accent4"/>
            </a:solidFill>
            <a:ln>
              <a:noFill/>
            </a:ln>
            <a:effectLst/>
          </c:spPr>
          <c:invertIfNegative val="0"/>
          <c:cat>
            <c:strRef>
              <c:f>'Ilustrative Comparison Tool'!$D$58:$O$58</c:f>
              <c:strCache>
                <c:ptCount val="12"/>
                <c:pt idx="0">
                  <c:v>Scenario 1: Project DWAP &lt; Reference DWAP </c:v>
                </c:pt>
                <c:pt idx="1">
                  <c:v>Scenario 2: Project DWAP &gt; Reference DWAP</c:v>
                </c:pt>
                <c:pt idx="2">
                  <c:v>Scenario 3: Project Volume &lt; Reference Volume</c:v>
                </c:pt>
                <c:pt idx="3">
                  <c:v>Scenario 4: Project Volume &gt;  Reference Volume</c:v>
                </c:pt>
                <c:pt idx="4">
                  <c:v>Scenario 5: FM Event</c:v>
                </c:pt>
                <c:pt idx="5">
                  <c:v>Senario 6: VRE Drought</c:v>
                </c:pt>
                <c:pt idx="6">
                  <c:v>Scenario 7: VRE drought, project underperforms</c:v>
                </c:pt>
                <c:pt idx="7">
                  <c:v>Scenario 8: VRE drought, project overperforms</c:v>
                </c:pt>
                <c:pt idx="8">
                  <c:v>Scenario 9: VRE oversupply</c:v>
                </c:pt>
                <c:pt idx="9">
                  <c:v>Scenario 10: VRE oversupply, project underperforms</c:v>
                </c:pt>
                <c:pt idx="10">
                  <c:v>Scenario 11: VRE oversupply, project overperforms</c:v>
                </c:pt>
                <c:pt idx="11">
                  <c:v>Scenario 12: Blank</c:v>
                </c:pt>
              </c:strCache>
            </c:strRef>
          </c:cat>
          <c:val>
            <c:numRef>
              <c:f>'Ilustrative Comparison Tool'!$D$79:$O$79</c:f>
              <c:numCache>
                <c:formatCode>\$#,##0;"($"#,##0\);\-</c:formatCode>
                <c:ptCount val="12"/>
                <c:pt idx="0">
                  <c:v>10512000</c:v>
                </c:pt>
                <c:pt idx="1">
                  <c:v>10512000</c:v>
                </c:pt>
                <c:pt idx="2">
                  <c:v>8409600</c:v>
                </c:pt>
                <c:pt idx="3">
                  <c:v>12614400</c:v>
                </c:pt>
                <c:pt idx="4">
                  <c:v>5256000</c:v>
                </c:pt>
                <c:pt idx="5">
                  <c:v>6307200</c:v>
                </c:pt>
                <c:pt idx="6">
                  <c:v>6307200</c:v>
                </c:pt>
                <c:pt idx="7">
                  <c:v>7358399.9999999981</c:v>
                </c:pt>
                <c:pt idx="8">
                  <c:v>15768000</c:v>
                </c:pt>
                <c:pt idx="9">
                  <c:v>14716799.999999996</c:v>
                </c:pt>
                <c:pt idx="10">
                  <c:v>16819200</c:v>
                </c:pt>
                <c:pt idx="11">
                  <c:v>0</c:v>
                </c:pt>
              </c:numCache>
            </c:numRef>
          </c:val>
          <c:extLst>
            <c:ext xmlns:c16="http://schemas.microsoft.com/office/drawing/2014/chart" uri="{C3380CC4-5D6E-409C-BE32-E72D297353CC}">
              <c16:uniqueId val="{00000003-EB85-43D4-87A6-241DA4BCA283}"/>
            </c:ext>
          </c:extLst>
        </c:ser>
        <c:ser>
          <c:idx val="0"/>
          <c:order val="2"/>
          <c:tx>
            <c:v>DWA Swap</c:v>
          </c:tx>
          <c:spPr>
            <a:solidFill>
              <a:schemeClr val="accent1"/>
            </a:solidFill>
            <a:ln>
              <a:noFill/>
            </a:ln>
            <a:effectLst/>
          </c:spPr>
          <c:invertIfNegative val="0"/>
          <c:cat>
            <c:strRef>
              <c:f>'Ilustrative Comparison Tool'!$D$58:$O$58</c:f>
              <c:strCache>
                <c:ptCount val="12"/>
                <c:pt idx="0">
                  <c:v>Scenario 1: Project DWAP &lt; Reference DWAP </c:v>
                </c:pt>
                <c:pt idx="1">
                  <c:v>Scenario 2: Project DWAP &gt; Reference DWAP</c:v>
                </c:pt>
                <c:pt idx="2">
                  <c:v>Scenario 3: Project Volume &lt; Reference Volume</c:v>
                </c:pt>
                <c:pt idx="3">
                  <c:v>Scenario 4: Project Volume &gt;  Reference Volume</c:v>
                </c:pt>
                <c:pt idx="4">
                  <c:v>Scenario 5: FM Event</c:v>
                </c:pt>
                <c:pt idx="5">
                  <c:v>Senario 6: VRE Drought</c:v>
                </c:pt>
                <c:pt idx="6">
                  <c:v>Scenario 7: VRE drought, project underperforms</c:v>
                </c:pt>
                <c:pt idx="7">
                  <c:v>Scenario 8: VRE drought, project overperforms</c:v>
                </c:pt>
                <c:pt idx="8">
                  <c:v>Scenario 9: VRE oversupply</c:v>
                </c:pt>
                <c:pt idx="9">
                  <c:v>Scenario 10: VRE oversupply, project underperforms</c:v>
                </c:pt>
                <c:pt idx="10">
                  <c:v>Scenario 11: VRE oversupply, project overperforms</c:v>
                </c:pt>
                <c:pt idx="11">
                  <c:v>Scenario 12: Blank</c:v>
                </c:pt>
              </c:strCache>
            </c:strRef>
          </c:cat>
          <c:val>
            <c:numRef>
              <c:f>'Ilustrative Comparison Tool'!$D$86:$O$86</c:f>
              <c:numCache>
                <c:formatCode>\$#,##0;"($"#,##0\);\-</c:formatCode>
                <c:ptCount val="12"/>
                <c:pt idx="0">
                  <c:v>8409600</c:v>
                </c:pt>
                <c:pt idx="1">
                  <c:v>12614400</c:v>
                </c:pt>
                <c:pt idx="2">
                  <c:v>8409600</c:v>
                </c:pt>
                <c:pt idx="3">
                  <c:v>12614400</c:v>
                </c:pt>
                <c:pt idx="4">
                  <c:v>3679200</c:v>
                </c:pt>
                <c:pt idx="5">
                  <c:v>5256000</c:v>
                </c:pt>
                <c:pt idx="6">
                  <c:v>4415040</c:v>
                </c:pt>
                <c:pt idx="7">
                  <c:v>7463519.9999999981</c:v>
                </c:pt>
                <c:pt idx="8">
                  <c:v>14191200</c:v>
                </c:pt>
                <c:pt idx="9">
                  <c:v>11983679.999999998</c:v>
                </c:pt>
                <c:pt idx="10">
                  <c:v>15768000</c:v>
                </c:pt>
                <c:pt idx="11">
                  <c:v>0</c:v>
                </c:pt>
              </c:numCache>
            </c:numRef>
          </c:val>
          <c:extLst>
            <c:ext xmlns:c16="http://schemas.microsoft.com/office/drawing/2014/chart" uri="{C3380CC4-5D6E-409C-BE32-E72D297353CC}">
              <c16:uniqueId val="{00000000-69B5-4A1D-A077-6BAD8D7140B7}"/>
            </c:ext>
          </c:extLst>
        </c:ser>
        <c:ser>
          <c:idx val="1"/>
          <c:order val="3"/>
          <c:tx>
            <c:v>Revenue Swap</c:v>
          </c:tx>
          <c:spPr>
            <a:solidFill>
              <a:schemeClr val="accent2"/>
            </a:solidFill>
            <a:ln>
              <a:noFill/>
            </a:ln>
            <a:effectLst/>
          </c:spPr>
          <c:invertIfNegative val="0"/>
          <c:cat>
            <c:strRef>
              <c:f>'Ilustrative Comparison Tool'!$D$58:$O$58</c:f>
              <c:strCache>
                <c:ptCount val="12"/>
                <c:pt idx="0">
                  <c:v>Scenario 1: Project DWAP &lt; Reference DWAP </c:v>
                </c:pt>
                <c:pt idx="1">
                  <c:v>Scenario 2: Project DWAP &gt; Reference DWAP</c:v>
                </c:pt>
                <c:pt idx="2">
                  <c:v>Scenario 3: Project Volume &lt; Reference Volume</c:v>
                </c:pt>
                <c:pt idx="3">
                  <c:v>Scenario 4: Project Volume &gt;  Reference Volume</c:v>
                </c:pt>
                <c:pt idx="4">
                  <c:v>Scenario 5: FM Event</c:v>
                </c:pt>
                <c:pt idx="5">
                  <c:v>Senario 6: VRE Drought</c:v>
                </c:pt>
                <c:pt idx="6">
                  <c:v>Scenario 7: VRE drought, project underperforms</c:v>
                </c:pt>
                <c:pt idx="7">
                  <c:v>Scenario 8: VRE drought, project overperforms</c:v>
                </c:pt>
                <c:pt idx="8">
                  <c:v>Scenario 9: VRE oversupply</c:v>
                </c:pt>
                <c:pt idx="9">
                  <c:v>Scenario 10: VRE oversupply, project underperforms</c:v>
                </c:pt>
                <c:pt idx="10">
                  <c:v>Scenario 11: VRE oversupply, project overperforms</c:v>
                </c:pt>
                <c:pt idx="11">
                  <c:v>Scenario 12: Blank</c:v>
                </c:pt>
              </c:strCache>
            </c:strRef>
          </c:cat>
          <c:val>
            <c:numRef>
              <c:f>'Ilustrative Comparison Tool'!$D$93:$O$93</c:f>
              <c:numCache>
                <c:formatCode>\$#,##0;"($"#,##0\);\-</c:formatCode>
                <c:ptCount val="12"/>
                <c:pt idx="0">
                  <c:v>8409600</c:v>
                </c:pt>
                <c:pt idx="1">
                  <c:v>12614400</c:v>
                </c:pt>
                <c:pt idx="2">
                  <c:v>8409600</c:v>
                </c:pt>
                <c:pt idx="3">
                  <c:v>12614400</c:v>
                </c:pt>
                <c:pt idx="4">
                  <c:v>3679200</c:v>
                </c:pt>
                <c:pt idx="5">
                  <c:v>10512000</c:v>
                </c:pt>
                <c:pt idx="6">
                  <c:v>8514720</c:v>
                </c:pt>
                <c:pt idx="7">
                  <c:v>12509279.999999998</c:v>
                </c:pt>
                <c:pt idx="8">
                  <c:v>10512000</c:v>
                </c:pt>
                <c:pt idx="9">
                  <c:v>8304479.9999999981</c:v>
                </c:pt>
                <c:pt idx="10">
                  <c:v>12088800</c:v>
                </c:pt>
                <c:pt idx="11">
                  <c:v>0</c:v>
                </c:pt>
              </c:numCache>
            </c:numRef>
          </c:val>
          <c:extLst>
            <c:ext xmlns:c16="http://schemas.microsoft.com/office/drawing/2014/chart" uri="{C3380CC4-5D6E-409C-BE32-E72D297353CC}">
              <c16:uniqueId val="{00000001-69B5-4A1D-A077-6BAD8D7140B7}"/>
            </c:ext>
          </c:extLst>
        </c:ser>
        <c:ser>
          <c:idx val="2"/>
          <c:order val="4"/>
          <c:tx>
            <c:v>Reference PPA</c:v>
          </c:tx>
          <c:spPr>
            <a:solidFill>
              <a:schemeClr val="accent3"/>
            </a:solidFill>
            <a:ln>
              <a:noFill/>
            </a:ln>
            <a:effectLst/>
          </c:spPr>
          <c:invertIfNegative val="0"/>
          <c:cat>
            <c:strRef>
              <c:f>'Ilustrative Comparison Tool'!$D$58:$O$58</c:f>
              <c:strCache>
                <c:ptCount val="12"/>
                <c:pt idx="0">
                  <c:v>Scenario 1: Project DWAP &lt; Reference DWAP </c:v>
                </c:pt>
                <c:pt idx="1">
                  <c:v>Scenario 2: Project DWAP &gt; Reference DWAP</c:v>
                </c:pt>
                <c:pt idx="2">
                  <c:v>Scenario 3: Project Volume &lt; Reference Volume</c:v>
                </c:pt>
                <c:pt idx="3">
                  <c:v>Scenario 4: Project Volume &gt;  Reference Volume</c:v>
                </c:pt>
                <c:pt idx="4">
                  <c:v>Scenario 5: FM Event</c:v>
                </c:pt>
                <c:pt idx="5">
                  <c:v>Senario 6: VRE Drought</c:v>
                </c:pt>
                <c:pt idx="6">
                  <c:v>Scenario 7: VRE drought, project underperforms</c:v>
                </c:pt>
                <c:pt idx="7">
                  <c:v>Scenario 8: VRE drought, project overperforms</c:v>
                </c:pt>
                <c:pt idx="8">
                  <c:v>Scenario 9: VRE oversupply</c:v>
                </c:pt>
                <c:pt idx="9">
                  <c:v>Scenario 10: VRE oversupply, project underperforms</c:v>
                </c:pt>
                <c:pt idx="10">
                  <c:v>Scenario 11: VRE oversupply, project overperforms</c:v>
                </c:pt>
                <c:pt idx="11">
                  <c:v>Scenario 12: Blank</c:v>
                </c:pt>
              </c:strCache>
            </c:strRef>
          </c:cat>
          <c:val>
            <c:numRef>
              <c:f>'Ilustrative Comparison Tool'!$D$100:$O$100</c:f>
              <c:numCache>
                <c:formatCode>\$#,##0;"($"#,##0\);\-</c:formatCode>
                <c:ptCount val="12"/>
                <c:pt idx="0">
                  <c:v>8409600</c:v>
                </c:pt>
                <c:pt idx="1">
                  <c:v>12614400</c:v>
                </c:pt>
                <c:pt idx="2">
                  <c:v>8409600</c:v>
                </c:pt>
                <c:pt idx="3">
                  <c:v>12614400</c:v>
                </c:pt>
                <c:pt idx="4">
                  <c:v>3679200</c:v>
                </c:pt>
                <c:pt idx="5">
                  <c:v>6307200</c:v>
                </c:pt>
                <c:pt idx="6">
                  <c:v>5361120</c:v>
                </c:pt>
                <c:pt idx="7">
                  <c:v>8304479.9999999981</c:v>
                </c:pt>
                <c:pt idx="8">
                  <c:v>15768000</c:v>
                </c:pt>
                <c:pt idx="9">
                  <c:v>13560479.999999998</c:v>
                </c:pt>
                <c:pt idx="10">
                  <c:v>17344800</c:v>
                </c:pt>
                <c:pt idx="11">
                  <c:v>0</c:v>
                </c:pt>
              </c:numCache>
            </c:numRef>
          </c:val>
          <c:extLst>
            <c:ext xmlns:c16="http://schemas.microsoft.com/office/drawing/2014/chart" uri="{C3380CC4-5D6E-409C-BE32-E72D297353CC}">
              <c16:uniqueId val="{00000001-EB85-43D4-87A6-241DA4BCA283}"/>
            </c:ext>
          </c:extLst>
        </c:ser>
        <c:dLbls>
          <c:showLegendKey val="0"/>
          <c:showVal val="0"/>
          <c:showCatName val="0"/>
          <c:showSerName val="0"/>
          <c:showPercent val="0"/>
          <c:showBubbleSize val="0"/>
        </c:dLbls>
        <c:gapWidth val="150"/>
        <c:axId val="33068558"/>
        <c:axId val="13601844"/>
      </c:barChart>
      <c:catAx>
        <c:axId val="33068558"/>
        <c:scaling>
          <c:orientation val="minMax"/>
        </c:scaling>
        <c:delete val="0"/>
        <c:axPos val="b"/>
        <c:numFmt formatCode="General" sourceLinked="1"/>
        <c:majorTickMark val="none"/>
        <c:minorTickMark val="none"/>
        <c:tickLblPos val="low"/>
        <c:spPr>
          <a:noFill/>
          <a:ln w="9360" cap="flat" cmpd="sng" algn="ctr">
            <a:solidFill>
              <a:srgbClr val="878787"/>
            </a:solidFill>
            <a:prstDash val="solid"/>
            <a:round/>
          </a:ln>
          <a:effectLst/>
        </c:spPr>
        <c:txPr>
          <a:bodyPr rot="-60000000" spcFirstLastPara="1" vertOverflow="ellipsis" vert="horz" wrap="square" anchor="ctr" anchorCtr="1"/>
          <a:lstStyle/>
          <a:p>
            <a:pPr>
              <a:defRPr sz="900" b="0" i="0" u="none" strike="noStrike" kern="1200" baseline="0">
                <a:solidFill>
                  <a:schemeClr val="tx1"/>
                </a:solidFill>
                <a:latin typeface="Arial Nova" panose="020F0502020204030204" pitchFamily="34" charset="0"/>
                <a:ea typeface="+mn-ea"/>
                <a:cs typeface="+mn-cs"/>
              </a:defRPr>
            </a:pPr>
            <a:endParaRPr lang="en-US"/>
          </a:p>
        </c:txPr>
        <c:crossAx val="13601844"/>
        <c:crosses val="autoZero"/>
        <c:auto val="1"/>
        <c:lblAlgn val="ctr"/>
        <c:lblOffset val="100"/>
        <c:noMultiLvlLbl val="0"/>
      </c:catAx>
      <c:valAx>
        <c:axId val="13601844"/>
        <c:scaling>
          <c:orientation val="minMax"/>
        </c:scaling>
        <c:delete val="0"/>
        <c:axPos val="l"/>
        <c:majorGridlines>
          <c:spPr>
            <a:ln w="9360" cap="flat" cmpd="sng" algn="ctr">
              <a:solidFill>
                <a:srgbClr val="878787"/>
              </a:solidFill>
              <a:prstDash val="solid"/>
              <a:round/>
            </a:ln>
            <a:effectLst/>
          </c:spPr>
        </c:majorGridlines>
        <c:numFmt formatCode="\$#,##0;&quot;($&quot;#,##0\);\-" sourceLinked="1"/>
        <c:majorTickMark val="none"/>
        <c:minorTickMark val="none"/>
        <c:tickLblPos val="nextTo"/>
        <c:spPr>
          <a:noFill/>
          <a:ln w="9360" cap="flat" cmpd="sng" algn="ctr">
            <a:solidFill>
              <a:srgbClr val="878787"/>
            </a:solidFill>
            <a:prstDash val="solid"/>
            <a:round/>
          </a:ln>
          <a:effectLst/>
        </c:spPr>
        <c:txPr>
          <a:bodyPr rot="-60000000" spcFirstLastPara="1" vertOverflow="ellipsis" vert="horz" wrap="square" anchor="ctr" anchorCtr="1"/>
          <a:lstStyle/>
          <a:p>
            <a:pPr>
              <a:defRPr sz="1100" b="0" i="0" u="none" strike="noStrike" kern="1200" baseline="0">
                <a:solidFill>
                  <a:schemeClr val="tx1"/>
                </a:solidFill>
                <a:latin typeface="Arial Nova" panose="020F0502020204030204" pitchFamily="34" charset="0"/>
                <a:ea typeface="+mn-ea"/>
                <a:cs typeface="+mn-cs"/>
              </a:defRPr>
            </a:pPr>
            <a:endParaRPr lang="en-US"/>
          </a:p>
        </c:txPr>
        <c:crossAx val="33068558"/>
        <c:crosses val="autoZero"/>
        <c:crossBetween val="between"/>
      </c:valAx>
      <c:spPr>
        <a:noFill/>
        <a:ln w="0">
          <a:noFill/>
        </a:ln>
        <a:effectLst/>
      </c:spPr>
    </c:plotArea>
    <c:legend>
      <c:legendPos val="r"/>
      <c:overlay val="0"/>
      <c:spPr>
        <a:noFill/>
        <a:ln w="0">
          <a:noFill/>
        </a:ln>
        <a:effectLst/>
      </c:spPr>
      <c:txPr>
        <a:bodyPr rot="0" spcFirstLastPara="1" vertOverflow="ellipsis" vert="horz" wrap="square" anchor="ctr" anchorCtr="1"/>
        <a:lstStyle/>
        <a:p>
          <a:pPr>
            <a:defRPr sz="1100" b="0" i="0" u="none" strike="noStrike" kern="1200" baseline="0">
              <a:solidFill>
                <a:schemeClr val="tx1"/>
              </a:solidFill>
              <a:latin typeface="Arial Nova" panose="020F0502020204030204" pitchFamily="34" charset="0"/>
              <a:ea typeface="+mn-ea"/>
              <a:cs typeface="+mn-cs"/>
            </a:defRPr>
          </a:pPr>
          <a:endParaRPr lang="en-US"/>
        </a:p>
      </c:txPr>
    </c:legend>
    <c:plotVisOnly val="1"/>
    <c:dispBlanksAs val="gap"/>
    <c:showDLblsOverMax val="1"/>
  </c:chart>
  <c:spPr>
    <a:solidFill>
      <a:srgbClr val="FFFFFF"/>
    </a:solidFill>
    <a:ln w="9360" cap="flat" cmpd="sng" algn="ctr">
      <a:solidFill>
        <a:schemeClr val="tx1"/>
      </a:solidFill>
      <a:prstDash val="solid"/>
      <a:round/>
    </a:ln>
    <a:effectLst/>
  </c:spPr>
  <c:txPr>
    <a:bodyPr/>
    <a:lstStyle/>
    <a:p>
      <a:pPr>
        <a:defRPr>
          <a:latin typeface="Arial Nova" panose="020F050202020403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tx1"/>
                </a:solidFill>
                <a:latin typeface="Arial Nova" panose="020F0502020204030204"/>
                <a:ea typeface="+mn-ea"/>
                <a:cs typeface="+mn-cs"/>
              </a:defRPr>
            </a:pPr>
            <a:r>
              <a:rPr lang="en-AU" sz="1800" b="1" i="0" u="none" strike="noStrike" kern="1200" baseline="0">
                <a:solidFill>
                  <a:srgbClr val="000000"/>
                </a:solidFill>
                <a:latin typeface="Arial Nova" panose="020F0502020204030204" pitchFamily="34" charset="0"/>
              </a:rPr>
              <a:t>Buyer Net Cash-Flows by Scenario</a:t>
            </a:r>
          </a:p>
        </c:rich>
      </c:tx>
      <c:layout>
        <c:manualLayout>
          <c:xMode val="edge"/>
          <c:yMode val="edge"/>
          <c:x val="0.36608714975404266"/>
          <c:y val="1.6703749575281958E-2"/>
        </c:manualLayout>
      </c:layout>
      <c:overlay val="0"/>
      <c:spPr>
        <a:noFill/>
        <a:ln w="0">
          <a:noFill/>
        </a:ln>
        <a:effectLst/>
      </c:spPr>
      <c:txPr>
        <a:bodyPr rot="0" spcFirstLastPara="1" vertOverflow="ellipsis" vert="horz" wrap="square" anchor="ctr" anchorCtr="1"/>
        <a:lstStyle/>
        <a:p>
          <a:pPr>
            <a:defRPr sz="1800" b="1" i="0" u="none" strike="noStrike" kern="1200" baseline="0">
              <a:solidFill>
                <a:schemeClr val="tx1"/>
              </a:solidFill>
              <a:latin typeface="Arial Nova" panose="020F0502020204030204"/>
              <a:ea typeface="+mn-ea"/>
              <a:cs typeface="+mn-cs"/>
            </a:defRPr>
          </a:pPr>
          <a:endParaRPr lang="en-US"/>
        </a:p>
      </c:txPr>
    </c:title>
    <c:autoTitleDeleted val="0"/>
    <c:plotArea>
      <c:layout/>
      <c:barChart>
        <c:barDir val="col"/>
        <c:grouping val="clustered"/>
        <c:varyColors val="0"/>
        <c:ser>
          <c:idx val="3"/>
          <c:order val="0"/>
          <c:tx>
            <c:v>Merchant</c:v>
          </c:tx>
          <c:spPr>
            <a:solidFill>
              <a:schemeClr val="accent5"/>
            </a:solidFill>
            <a:ln>
              <a:noFill/>
            </a:ln>
            <a:effectLst/>
          </c:spPr>
          <c:invertIfNegative val="0"/>
          <c:cat>
            <c:strRef>
              <c:f>'Ilustrative Comparison Tool'!$D$104:$O$104</c:f>
              <c:strCache>
                <c:ptCount val="12"/>
                <c:pt idx="0">
                  <c:v>Scenario 1: Project DWAP &lt; Reference DWAP </c:v>
                </c:pt>
                <c:pt idx="1">
                  <c:v>Scenario 2: Project DWAP &gt; Reference DWAP</c:v>
                </c:pt>
                <c:pt idx="2">
                  <c:v>Scenario 3: Project Volume &lt; Reference Volume</c:v>
                </c:pt>
                <c:pt idx="3">
                  <c:v>Scenario 4: Project Volume &gt;  Reference Volume</c:v>
                </c:pt>
                <c:pt idx="4">
                  <c:v>Scenario 5: FM Event</c:v>
                </c:pt>
                <c:pt idx="5">
                  <c:v>Senario 6: VRE Drought</c:v>
                </c:pt>
                <c:pt idx="6">
                  <c:v>Scenario 7: VRE drought, project underperforms</c:v>
                </c:pt>
                <c:pt idx="7">
                  <c:v>Scenario 8: VRE drought, project overperforms</c:v>
                </c:pt>
                <c:pt idx="8">
                  <c:v>Scenario 9: VRE oversupply</c:v>
                </c:pt>
                <c:pt idx="9">
                  <c:v>Scenario 10: VRE oversupply, project underperforms</c:v>
                </c:pt>
                <c:pt idx="10">
                  <c:v>Scenario 11: VRE oversupply, project overperforms</c:v>
                </c:pt>
                <c:pt idx="11">
                  <c:v>Scenario 12: Blank</c:v>
                </c:pt>
              </c:strCache>
            </c:strRef>
          </c:cat>
          <c:val>
            <c:numRef>
              <c:f>'Ilustrative Comparison Tool'!$D$111:$O$111</c:f>
              <c:numCache>
                <c:formatCode>\$#,##0;"($"#,##0\);\-</c:formatCode>
                <c:ptCount val="12"/>
                <c:pt idx="0">
                  <c:v>-10512000</c:v>
                </c:pt>
                <c:pt idx="1">
                  <c:v>-10512000</c:v>
                </c:pt>
                <c:pt idx="2">
                  <c:v>-10512000</c:v>
                </c:pt>
                <c:pt idx="3">
                  <c:v>-10512000</c:v>
                </c:pt>
                <c:pt idx="4">
                  <c:v>-10512000</c:v>
                </c:pt>
                <c:pt idx="5">
                  <c:v>-13140000</c:v>
                </c:pt>
                <c:pt idx="6">
                  <c:v>-13665600</c:v>
                </c:pt>
                <c:pt idx="7">
                  <c:v>-12614400</c:v>
                </c:pt>
                <c:pt idx="8">
                  <c:v>-7358400</c:v>
                </c:pt>
                <c:pt idx="9">
                  <c:v>-7358400</c:v>
                </c:pt>
                <c:pt idx="10">
                  <c:v>-7358400</c:v>
                </c:pt>
                <c:pt idx="11">
                  <c:v>0</c:v>
                </c:pt>
              </c:numCache>
            </c:numRef>
          </c:val>
          <c:extLst>
            <c:ext xmlns:c16="http://schemas.microsoft.com/office/drawing/2014/chart" uri="{C3380CC4-5D6E-409C-BE32-E72D297353CC}">
              <c16:uniqueId val="{00000000-184D-4C8B-A26B-900EFAF4D78B}"/>
            </c:ext>
          </c:extLst>
        </c:ser>
        <c:ser>
          <c:idx val="4"/>
          <c:order val="1"/>
          <c:tx>
            <c:v>PPA</c:v>
          </c:tx>
          <c:spPr>
            <a:solidFill>
              <a:schemeClr val="accent4"/>
            </a:solidFill>
            <a:ln>
              <a:noFill/>
            </a:ln>
            <a:effectLst/>
          </c:spPr>
          <c:invertIfNegative val="0"/>
          <c:cat>
            <c:strRef>
              <c:f>'Ilustrative Comparison Tool'!$D$104:$O$104</c:f>
              <c:strCache>
                <c:ptCount val="12"/>
                <c:pt idx="0">
                  <c:v>Scenario 1: Project DWAP &lt; Reference DWAP </c:v>
                </c:pt>
                <c:pt idx="1">
                  <c:v>Scenario 2: Project DWAP &gt; Reference DWAP</c:v>
                </c:pt>
                <c:pt idx="2">
                  <c:v>Scenario 3: Project Volume &lt; Reference Volume</c:v>
                </c:pt>
                <c:pt idx="3">
                  <c:v>Scenario 4: Project Volume &gt;  Reference Volume</c:v>
                </c:pt>
                <c:pt idx="4">
                  <c:v>Scenario 5: FM Event</c:v>
                </c:pt>
                <c:pt idx="5">
                  <c:v>Senario 6: VRE Drought</c:v>
                </c:pt>
                <c:pt idx="6">
                  <c:v>Scenario 7: VRE drought, project underperforms</c:v>
                </c:pt>
                <c:pt idx="7">
                  <c:v>Scenario 8: VRE drought, project overperforms</c:v>
                </c:pt>
                <c:pt idx="8">
                  <c:v>Scenario 9: VRE oversupply</c:v>
                </c:pt>
                <c:pt idx="9">
                  <c:v>Scenario 10: VRE oversupply, project underperforms</c:v>
                </c:pt>
                <c:pt idx="10">
                  <c:v>Scenario 11: VRE oversupply, project overperforms</c:v>
                </c:pt>
                <c:pt idx="11">
                  <c:v>Scenario 12: Blank</c:v>
                </c:pt>
              </c:strCache>
            </c:strRef>
          </c:cat>
          <c:val>
            <c:numRef>
              <c:f>'Ilustrative Comparison Tool'!$D$119:$O$119</c:f>
              <c:numCache>
                <c:formatCode>\$#,##0;"($"#,##0\);\-</c:formatCode>
                <c:ptCount val="12"/>
                <c:pt idx="0">
                  <c:v>-12614400</c:v>
                </c:pt>
                <c:pt idx="1">
                  <c:v>-8409600</c:v>
                </c:pt>
                <c:pt idx="2">
                  <c:v>-10512000</c:v>
                </c:pt>
                <c:pt idx="3">
                  <c:v>-10512000</c:v>
                </c:pt>
                <c:pt idx="4">
                  <c:v>-12088800</c:v>
                </c:pt>
                <c:pt idx="5">
                  <c:v>-11563200</c:v>
                </c:pt>
                <c:pt idx="6">
                  <c:v>-12404160</c:v>
                </c:pt>
                <c:pt idx="7">
                  <c:v>-10406880</c:v>
                </c:pt>
                <c:pt idx="8">
                  <c:v>-12088800</c:v>
                </c:pt>
                <c:pt idx="9">
                  <c:v>-13245120</c:v>
                </c:pt>
                <c:pt idx="10">
                  <c:v>-11563200</c:v>
                </c:pt>
                <c:pt idx="11">
                  <c:v>0</c:v>
                </c:pt>
              </c:numCache>
            </c:numRef>
          </c:val>
          <c:extLst>
            <c:ext xmlns:c16="http://schemas.microsoft.com/office/drawing/2014/chart" uri="{C3380CC4-5D6E-409C-BE32-E72D297353CC}">
              <c16:uniqueId val="{00000000-9E06-4B4A-A41A-6924B688ECD3}"/>
            </c:ext>
          </c:extLst>
        </c:ser>
        <c:ser>
          <c:idx val="0"/>
          <c:order val="2"/>
          <c:tx>
            <c:v>DWA Swap</c:v>
          </c:tx>
          <c:spPr>
            <a:solidFill>
              <a:schemeClr val="accent1"/>
            </a:solidFill>
            <a:ln>
              <a:noFill/>
            </a:ln>
            <a:effectLst/>
          </c:spPr>
          <c:invertIfNegative val="0"/>
          <c:cat>
            <c:strRef>
              <c:f>'Ilustrative Comparison Tool'!$D$104:$O$104</c:f>
              <c:strCache>
                <c:ptCount val="12"/>
                <c:pt idx="0">
                  <c:v>Scenario 1: Project DWAP &lt; Reference DWAP </c:v>
                </c:pt>
                <c:pt idx="1">
                  <c:v>Scenario 2: Project DWAP &gt; Reference DWAP</c:v>
                </c:pt>
                <c:pt idx="2">
                  <c:v>Scenario 3: Project Volume &lt; Reference Volume</c:v>
                </c:pt>
                <c:pt idx="3">
                  <c:v>Scenario 4: Project Volume &gt;  Reference Volume</c:v>
                </c:pt>
                <c:pt idx="4">
                  <c:v>Scenario 5: FM Event</c:v>
                </c:pt>
                <c:pt idx="5">
                  <c:v>Senario 6: VRE Drought</c:v>
                </c:pt>
                <c:pt idx="6">
                  <c:v>Scenario 7: VRE drought, project underperforms</c:v>
                </c:pt>
                <c:pt idx="7">
                  <c:v>Scenario 8: VRE drought, project overperforms</c:v>
                </c:pt>
                <c:pt idx="8">
                  <c:v>Scenario 9: VRE oversupply</c:v>
                </c:pt>
                <c:pt idx="9">
                  <c:v>Scenario 10: VRE oversupply, project underperforms</c:v>
                </c:pt>
                <c:pt idx="10">
                  <c:v>Scenario 11: VRE oversupply, project overperforms</c:v>
                </c:pt>
                <c:pt idx="11">
                  <c:v>Scenario 12: Blank</c:v>
                </c:pt>
              </c:strCache>
            </c:strRef>
          </c:cat>
          <c:val>
            <c:numRef>
              <c:f>'Ilustrative Comparison Tool'!$D$126:$O$126</c:f>
              <c:numCache>
                <c:formatCode>\$#,##0;"($"#,##0\);\-</c:formatCode>
                <c:ptCount val="12"/>
                <c:pt idx="0">
                  <c:v>-10512000</c:v>
                </c:pt>
                <c:pt idx="1">
                  <c:v>-10512000</c:v>
                </c:pt>
                <c:pt idx="2">
                  <c:v>-10512000</c:v>
                </c:pt>
                <c:pt idx="3">
                  <c:v>-10512000</c:v>
                </c:pt>
                <c:pt idx="4">
                  <c:v>-10512000</c:v>
                </c:pt>
                <c:pt idx="5">
                  <c:v>-10512000</c:v>
                </c:pt>
                <c:pt idx="6">
                  <c:v>-10512000</c:v>
                </c:pt>
                <c:pt idx="7">
                  <c:v>-10512000</c:v>
                </c:pt>
                <c:pt idx="8">
                  <c:v>-10512000</c:v>
                </c:pt>
                <c:pt idx="9">
                  <c:v>-10512000</c:v>
                </c:pt>
                <c:pt idx="10">
                  <c:v>-10512000</c:v>
                </c:pt>
                <c:pt idx="11">
                  <c:v>0</c:v>
                </c:pt>
              </c:numCache>
            </c:numRef>
          </c:val>
          <c:extLst>
            <c:ext xmlns:c16="http://schemas.microsoft.com/office/drawing/2014/chart" uri="{C3380CC4-5D6E-409C-BE32-E72D297353CC}">
              <c16:uniqueId val="{00000001-184D-4C8B-A26B-900EFAF4D78B}"/>
            </c:ext>
          </c:extLst>
        </c:ser>
        <c:ser>
          <c:idx val="1"/>
          <c:order val="3"/>
          <c:tx>
            <c:v>Revenue Swap</c:v>
          </c:tx>
          <c:spPr>
            <a:solidFill>
              <a:schemeClr val="accent2"/>
            </a:solidFill>
            <a:ln>
              <a:noFill/>
            </a:ln>
            <a:effectLst/>
          </c:spPr>
          <c:invertIfNegative val="0"/>
          <c:cat>
            <c:strRef>
              <c:f>'Ilustrative Comparison Tool'!$D$104:$O$104</c:f>
              <c:strCache>
                <c:ptCount val="12"/>
                <c:pt idx="0">
                  <c:v>Scenario 1: Project DWAP &lt; Reference DWAP </c:v>
                </c:pt>
                <c:pt idx="1">
                  <c:v>Scenario 2: Project DWAP &gt; Reference DWAP</c:v>
                </c:pt>
                <c:pt idx="2">
                  <c:v>Scenario 3: Project Volume &lt; Reference Volume</c:v>
                </c:pt>
                <c:pt idx="3">
                  <c:v>Scenario 4: Project Volume &gt;  Reference Volume</c:v>
                </c:pt>
                <c:pt idx="4">
                  <c:v>Scenario 5: FM Event</c:v>
                </c:pt>
                <c:pt idx="5">
                  <c:v>Senario 6: VRE Drought</c:v>
                </c:pt>
                <c:pt idx="6">
                  <c:v>Scenario 7: VRE drought, project underperforms</c:v>
                </c:pt>
                <c:pt idx="7">
                  <c:v>Scenario 8: VRE drought, project overperforms</c:v>
                </c:pt>
                <c:pt idx="8">
                  <c:v>Scenario 9: VRE oversupply</c:v>
                </c:pt>
                <c:pt idx="9">
                  <c:v>Scenario 10: VRE oversupply, project underperforms</c:v>
                </c:pt>
                <c:pt idx="10">
                  <c:v>Scenario 11: VRE oversupply, project overperforms</c:v>
                </c:pt>
                <c:pt idx="11">
                  <c:v>Scenario 12: Blank</c:v>
                </c:pt>
              </c:strCache>
            </c:strRef>
          </c:cat>
          <c:val>
            <c:numRef>
              <c:f>'Ilustrative Comparison Tool'!$D$133:$O$133</c:f>
              <c:numCache>
                <c:formatCode>\$#,##0;"($"#,##0\);\-</c:formatCode>
                <c:ptCount val="12"/>
                <c:pt idx="0">
                  <c:v>-10512000</c:v>
                </c:pt>
                <c:pt idx="1">
                  <c:v>-10512000</c:v>
                </c:pt>
                <c:pt idx="2">
                  <c:v>-10512000</c:v>
                </c:pt>
                <c:pt idx="3">
                  <c:v>-10512000</c:v>
                </c:pt>
                <c:pt idx="4">
                  <c:v>-10512000</c:v>
                </c:pt>
                <c:pt idx="5">
                  <c:v>-13140000</c:v>
                </c:pt>
                <c:pt idx="6">
                  <c:v>-14611680</c:v>
                </c:pt>
                <c:pt idx="7">
                  <c:v>-15557760</c:v>
                </c:pt>
                <c:pt idx="8">
                  <c:v>-6832800</c:v>
                </c:pt>
                <c:pt idx="9">
                  <c:v>-6832800</c:v>
                </c:pt>
                <c:pt idx="10">
                  <c:v>-6832800</c:v>
                </c:pt>
                <c:pt idx="11">
                  <c:v>0</c:v>
                </c:pt>
              </c:numCache>
            </c:numRef>
          </c:val>
          <c:extLst>
            <c:ext xmlns:c16="http://schemas.microsoft.com/office/drawing/2014/chart" uri="{C3380CC4-5D6E-409C-BE32-E72D297353CC}">
              <c16:uniqueId val="{00000002-184D-4C8B-A26B-900EFAF4D78B}"/>
            </c:ext>
          </c:extLst>
        </c:ser>
        <c:ser>
          <c:idx val="2"/>
          <c:order val="4"/>
          <c:tx>
            <c:v>Reference PPA</c:v>
          </c:tx>
          <c:spPr>
            <a:solidFill>
              <a:schemeClr val="accent3"/>
            </a:solidFill>
            <a:ln>
              <a:noFill/>
            </a:ln>
            <a:effectLst/>
          </c:spPr>
          <c:invertIfNegative val="0"/>
          <c:cat>
            <c:strRef>
              <c:f>'Ilustrative Comparison Tool'!$D$104:$O$104</c:f>
              <c:strCache>
                <c:ptCount val="12"/>
                <c:pt idx="0">
                  <c:v>Scenario 1: Project DWAP &lt; Reference DWAP </c:v>
                </c:pt>
                <c:pt idx="1">
                  <c:v>Scenario 2: Project DWAP &gt; Reference DWAP</c:v>
                </c:pt>
                <c:pt idx="2">
                  <c:v>Scenario 3: Project Volume &lt; Reference Volume</c:v>
                </c:pt>
                <c:pt idx="3">
                  <c:v>Scenario 4: Project Volume &gt;  Reference Volume</c:v>
                </c:pt>
                <c:pt idx="4">
                  <c:v>Scenario 5: FM Event</c:v>
                </c:pt>
                <c:pt idx="5">
                  <c:v>Senario 6: VRE Drought</c:v>
                </c:pt>
                <c:pt idx="6">
                  <c:v>Scenario 7: VRE drought, project underperforms</c:v>
                </c:pt>
                <c:pt idx="7">
                  <c:v>Scenario 8: VRE drought, project overperforms</c:v>
                </c:pt>
                <c:pt idx="8">
                  <c:v>Scenario 9: VRE oversupply</c:v>
                </c:pt>
                <c:pt idx="9">
                  <c:v>Scenario 10: VRE oversupply, project underperforms</c:v>
                </c:pt>
                <c:pt idx="10">
                  <c:v>Scenario 11: VRE oversupply, project overperforms</c:v>
                </c:pt>
                <c:pt idx="11">
                  <c:v>Scenario 12: Blank</c:v>
                </c:pt>
              </c:strCache>
            </c:strRef>
          </c:cat>
          <c:val>
            <c:numRef>
              <c:f>'Ilustrative Comparison Tool'!$D$140:$O$140</c:f>
              <c:numCache>
                <c:formatCode>\$#,##0;"($"#,##0\);\-</c:formatCode>
                <c:ptCount val="12"/>
                <c:pt idx="0">
                  <c:v>-10512000</c:v>
                </c:pt>
                <c:pt idx="1">
                  <c:v>-10512000</c:v>
                </c:pt>
                <c:pt idx="2">
                  <c:v>-10512000</c:v>
                </c:pt>
                <c:pt idx="3">
                  <c:v>-10512000</c:v>
                </c:pt>
                <c:pt idx="4">
                  <c:v>-10512000</c:v>
                </c:pt>
                <c:pt idx="5">
                  <c:v>-8935200</c:v>
                </c:pt>
                <c:pt idx="6">
                  <c:v>-11458080</c:v>
                </c:pt>
                <c:pt idx="7">
                  <c:v>-11352960</c:v>
                </c:pt>
                <c:pt idx="8">
                  <c:v>-12088800</c:v>
                </c:pt>
                <c:pt idx="9">
                  <c:v>-12088800</c:v>
                </c:pt>
                <c:pt idx="10">
                  <c:v>-12088800</c:v>
                </c:pt>
                <c:pt idx="11">
                  <c:v>0</c:v>
                </c:pt>
              </c:numCache>
            </c:numRef>
          </c:val>
          <c:extLst>
            <c:ext xmlns:c16="http://schemas.microsoft.com/office/drawing/2014/chart" uri="{C3380CC4-5D6E-409C-BE32-E72D297353CC}">
              <c16:uniqueId val="{00000003-184D-4C8B-A26B-900EFAF4D78B}"/>
            </c:ext>
          </c:extLst>
        </c:ser>
        <c:dLbls>
          <c:showLegendKey val="0"/>
          <c:showVal val="0"/>
          <c:showCatName val="0"/>
          <c:showSerName val="0"/>
          <c:showPercent val="0"/>
          <c:showBubbleSize val="0"/>
        </c:dLbls>
        <c:gapWidth val="150"/>
        <c:axId val="33068558"/>
        <c:axId val="13601844"/>
      </c:barChart>
      <c:catAx>
        <c:axId val="33068558"/>
        <c:scaling>
          <c:orientation val="minMax"/>
        </c:scaling>
        <c:delete val="0"/>
        <c:axPos val="b"/>
        <c:numFmt formatCode="General" sourceLinked="1"/>
        <c:majorTickMark val="none"/>
        <c:minorTickMark val="none"/>
        <c:tickLblPos val="low"/>
        <c:spPr>
          <a:noFill/>
          <a:ln w="9360" cap="flat" cmpd="sng" algn="ctr">
            <a:solidFill>
              <a:srgbClr val="878787"/>
            </a:solidFill>
            <a:prstDash val="solid"/>
            <a:round/>
          </a:ln>
          <a:effectLst/>
        </c:spPr>
        <c:txPr>
          <a:bodyPr rot="0" spcFirstLastPara="1" vertOverflow="ellipsis" wrap="square" anchor="ctr" anchorCtr="1"/>
          <a:lstStyle/>
          <a:p>
            <a:pPr>
              <a:defRPr sz="1000" b="0" i="0" u="none" strike="noStrike" kern="1200" baseline="0">
                <a:solidFill>
                  <a:schemeClr val="tx1"/>
                </a:solidFill>
                <a:latin typeface="Arial Nova" panose="020F0502020204030204"/>
                <a:ea typeface="+mn-ea"/>
                <a:cs typeface="+mn-cs"/>
              </a:defRPr>
            </a:pPr>
            <a:endParaRPr lang="en-US"/>
          </a:p>
        </c:txPr>
        <c:crossAx val="13601844"/>
        <c:crosses val="autoZero"/>
        <c:auto val="1"/>
        <c:lblAlgn val="ctr"/>
        <c:lblOffset val="100"/>
        <c:noMultiLvlLbl val="0"/>
      </c:catAx>
      <c:valAx>
        <c:axId val="13601844"/>
        <c:scaling>
          <c:orientation val="minMax"/>
        </c:scaling>
        <c:delete val="0"/>
        <c:axPos val="l"/>
        <c:majorGridlines>
          <c:spPr>
            <a:ln w="9360" cap="flat" cmpd="sng" algn="ctr">
              <a:solidFill>
                <a:srgbClr val="878787"/>
              </a:solidFill>
              <a:prstDash val="solid"/>
              <a:round/>
            </a:ln>
            <a:effectLst/>
          </c:spPr>
        </c:majorGridlines>
        <c:numFmt formatCode="\$#,##0;&quot;($&quot;#,##0\);\-" sourceLinked="1"/>
        <c:majorTickMark val="none"/>
        <c:minorTickMark val="none"/>
        <c:tickLblPos val="nextTo"/>
        <c:spPr>
          <a:noFill/>
          <a:ln w="9360" cap="flat" cmpd="sng" algn="ctr">
            <a:solidFill>
              <a:srgbClr val="878787"/>
            </a:solidFill>
            <a:prstDash val="solid"/>
            <a:round/>
          </a:ln>
          <a:effectLst/>
        </c:spPr>
        <c:txPr>
          <a:bodyPr rot="-60000000" spcFirstLastPara="1" vertOverflow="ellipsis" vert="horz" wrap="square" anchor="ctr" anchorCtr="1"/>
          <a:lstStyle/>
          <a:p>
            <a:pPr>
              <a:defRPr sz="1100" b="0" i="0" u="none" strike="noStrike" kern="1200" baseline="0">
                <a:solidFill>
                  <a:schemeClr val="tx1"/>
                </a:solidFill>
                <a:latin typeface="Arial Nova" panose="020F0502020204030204"/>
                <a:ea typeface="+mn-ea"/>
                <a:cs typeface="+mn-cs"/>
              </a:defRPr>
            </a:pPr>
            <a:endParaRPr lang="en-US"/>
          </a:p>
        </c:txPr>
        <c:crossAx val="33068558"/>
        <c:crosses val="autoZero"/>
        <c:crossBetween val="between"/>
        <c:majorUnit val="5000000"/>
      </c:valAx>
      <c:spPr>
        <a:noFill/>
        <a:ln w="0">
          <a:noFill/>
        </a:ln>
        <a:effectLst/>
      </c:spPr>
    </c:plotArea>
    <c:legend>
      <c:legendPos val="r"/>
      <c:overlay val="0"/>
      <c:spPr>
        <a:noFill/>
        <a:ln w="0">
          <a:noFill/>
        </a:ln>
        <a:effectLst/>
      </c:spPr>
      <c:txPr>
        <a:bodyPr rot="0" spcFirstLastPara="1" vertOverflow="ellipsis" vert="horz" wrap="square" anchor="ctr" anchorCtr="1"/>
        <a:lstStyle/>
        <a:p>
          <a:pPr>
            <a:defRPr sz="1100" b="0" i="0" u="none" strike="noStrike" kern="1200" baseline="0">
              <a:solidFill>
                <a:schemeClr val="tx1"/>
              </a:solidFill>
              <a:latin typeface="Arial Nova" panose="020F0502020204030204"/>
              <a:ea typeface="+mn-ea"/>
              <a:cs typeface="+mn-cs"/>
            </a:defRPr>
          </a:pPr>
          <a:endParaRPr lang="en-US"/>
        </a:p>
      </c:txPr>
    </c:legend>
    <c:plotVisOnly val="1"/>
    <c:dispBlanksAs val="gap"/>
    <c:showDLblsOverMax val="1"/>
  </c:chart>
  <c:spPr>
    <a:solidFill>
      <a:srgbClr val="FFFFFF"/>
    </a:solidFill>
    <a:ln w="9360" cap="flat" cmpd="sng" algn="ctr">
      <a:solidFill>
        <a:schemeClr val="tx1"/>
      </a:solidFill>
      <a:prstDash val="solid"/>
      <a:round/>
    </a:ln>
    <a:effectLst/>
  </c:spPr>
  <c:txPr>
    <a:bodyPr/>
    <a:lstStyle/>
    <a:p>
      <a:pPr>
        <a:defRPr>
          <a:latin typeface="Arial Nova" panose="020F0502020204030204"/>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558847</xdr:colOff>
      <xdr:row>7</xdr:row>
      <xdr:rowOff>129722</xdr:rowOff>
    </xdr:from>
    <xdr:to>
      <xdr:col>9</xdr:col>
      <xdr:colOff>463999</xdr:colOff>
      <xdr:row>20</xdr:row>
      <xdr:rowOff>124031</xdr:rowOff>
    </xdr:to>
    <xdr:sp macro="" textlink="">
      <xdr:nvSpPr>
        <xdr:cNvPr id="3" name="Rectangle: Rounded Corners 2">
          <a:extLst>
            <a:ext uri="{FF2B5EF4-FFF2-40B4-BE49-F238E27FC236}">
              <a16:creationId xmlns:a16="http://schemas.microsoft.com/office/drawing/2014/main" id="{87AB3B06-240A-40E3-ABE3-81D1C4EEA602}"/>
            </a:ext>
          </a:extLst>
        </xdr:cNvPr>
        <xdr:cNvSpPr/>
      </xdr:nvSpPr>
      <xdr:spPr>
        <a:xfrm>
          <a:off x="9259643" y="1918089"/>
          <a:ext cx="3870662" cy="2498023"/>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AU" sz="1400" b="1">
              <a:solidFill>
                <a:srgbClr val="FF0000"/>
              </a:solidFill>
              <a:latin typeface="Arial Nova" panose="020F0502020204030204" pitchFamily="34" charset="0"/>
            </a:rPr>
            <a:t>This settlement comparison tool was used to support the</a:t>
          </a:r>
          <a:r>
            <a:rPr lang="en-AU" sz="1400" b="1" baseline="0">
              <a:solidFill>
                <a:srgbClr val="FF0000"/>
              </a:solidFill>
              <a:latin typeface="Arial Nova" panose="020F0502020204030204" pitchFamily="34" charset="0"/>
            </a:rPr>
            <a:t> Working Group in considering the different mechanics and risk allocations between the bulk energy contract structures under consideration, prior to Workshop 3. For final WG ositions, users should refer to the Draft Product Sheets published as an attachment to the minutes, which may in some cases vary to those used in this tool.</a:t>
          </a:r>
          <a:endParaRPr lang="en-AU" sz="1400" b="1">
            <a:solidFill>
              <a:srgbClr val="FF0000"/>
            </a:solidFill>
            <a:latin typeface="Arial Nova" panose="020F050202020403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314757</xdr:colOff>
      <xdr:row>73</xdr:row>
      <xdr:rowOff>298136</xdr:rowOff>
    </xdr:from>
    <xdr:to>
      <xdr:col>39</xdr:col>
      <xdr:colOff>504391</xdr:colOff>
      <xdr:row>100</xdr:row>
      <xdr:rowOff>123826</xdr:rowOff>
    </xdr:to>
    <xdr:graphicFrame macro="">
      <xdr:nvGraphicFramePr>
        <xdr:cNvPr id="4" name="Chart 3">
          <a:extLst>
            <a:ext uri="{FF2B5EF4-FFF2-40B4-BE49-F238E27FC236}">
              <a16:creationId xmlns:a16="http://schemas.microsoft.com/office/drawing/2014/main" id="{EEB952B6-5335-4931-A4AE-EC16675D00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16</xdr:col>
      <xdr:colOff>308882</xdr:colOff>
      <xdr:row>106</xdr:row>
      <xdr:rowOff>144854</xdr:rowOff>
    </xdr:from>
    <xdr:to>
      <xdr:col>39</xdr:col>
      <xdr:colOff>425450</xdr:colOff>
      <xdr:row>133</xdr:row>
      <xdr:rowOff>30795</xdr:rowOff>
    </xdr:to>
    <xdr:graphicFrame macro="">
      <xdr:nvGraphicFramePr>
        <xdr:cNvPr id="5" name="Chart 4">
          <a:extLst>
            <a:ext uri="{FF2B5EF4-FFF2-40B4-BE49-F238E27FC236}">
              <a16:creationId xmlns:a16="http://schemas.microsoft.com/office/drawing/2014/main" id="{348A9F70-3025-487E-B3CF-76BE6032AB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1387929</xdr:colOff>
      <xdr:row>13</xdr:row>
      <xdr:rowOff>10431</xdr:rowOff>
    </xdr:from>
    <xdr:to>
      <xdr:col>5</xdr:col>
      <xdr:colOff>962933</xdr:colOff>
      <xdr:row>25</xdr:row>
      <xdr:rowOff>138544</xdr:rowOff>
    </xdr:to>
    <xdr:sp macro="" textlink="">
      <xdr:nvSpPr>
        <xdr:cNvPr id="3" name="Rectangle: Rounded Corners 2">
          <a:extLst>
            <a:ext uri="{FF2B5EF4-FFF2-40B4-BE49-F238E27FC236}">
              <a16:creationId xmlns:a16="http://schemas.microsoft.com/office/drawing/2014/main" id="{E21FB753-9008-49AA-A32D-BCCB78F38E31}"/>
            </a:ext>
          </a:extLst>
        </xdr:cNvPr>
        <xdr:cNvSpPr/>
      </xdr:nvSpPr>
      <xdr:spPr>
        <a:xfrm>
          <a:off x="7293429" y="2937204"/>
          <a:ext cx="3488913" cy="2414113"/>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AU" sz="1400" b="1">
              <a:solidFill>
                <a:srgbClr val="FF0000"/>
              </a:solidFill>
              <a:latin typeface="Arial Nova" panose="020F0502020204030204" pitchFamily="34" charset="0"/>
            </a:rPr>
            <a:t>This settlement comparison tool was used to support the</a:t>
          </a:r>
          <a:r>
            <a:rPr lang="en-AU" sz="1400" b="1" baseline="0">
              <a:solidFill>
                <a:srgbClr val="FF0000"/>
              </a:solidFill>
              <a:latin typeface="Arial Nova" panose="020F0502020204030204" pitchFamily="34" charset="0"/>
            </a:rPr>
            <a:t> Working Group in considering the different mechanics and risk allocations between the bulk energy contract structures under consideration, prior to Workshop 3. Users should refer to the Draft Product Sheets, which may in some cases vary to those used in this tool.</a:t>
          </a:r>
          <a:endParaRPr lang="en-AU" sz="1400" b="1">
            <a:solidFill>
              <a:srgbClr val="FF0000"/>
            </a:solidFill>
            <a:latin typeface="Arial Nova" panose="020F0502020204030204" pitchFamily="34" charset="0"/>
          </a:endParaRPr>
        </a:p>
      </xdr:txBody>
    </xdr:sp>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38"/>
  <sheetViews>
    <sheetView showGridLines="0" zoomScale="70" zoomScaleNormal="70" workbookViewId="0">
      <selection activeCell="B14" sqref="B14"/>
    </sheetView>
  </sheetViews>
  <sheetFormatPr defaultColWidth="8.7109375" defaultRowHeight="15" x14ac:dyDescent="0.25"/>
  <cols>
    <col min="1" max="1" width="3" customWidth="1"/>
    <col min="2" max="6" width="30" customWidth="1"/>
  </cols>
  <sheetData>
    <row r="2" spans="2:7" ht="30" customHeight="1" thickBot="1" x14ac:dyDescent="0.3">
      <c r="B2" s="55" t="s">
        <v>97</v>
      </c>
      <c r="C2" s="55"/>
      <c r="D2" s="55"/>
      <c r="E2" s="55"/>
      <c r="F2" s="55"/>
      <c r="G2" s="55"/>
    </row>
    <row r="3" spans="2:7" ht="15.75" thickTop="1" x14ac:dyDescent="0.25"/>
    <row r="4" spans="2:7" x14ac:dyDescent="0.25">
      <c r="B4" s="2" t="s">
        <v>0</v>
      </c>
    </row>
    <row r="5" spans="2:7" ht="15" customHeight="1" x14ac:dyDescent="0.25">
      <c r="B5" s="56" t="s">
        <v>57</v>
      </c>
      <c r="C5" s="56"/>
      <c r="D5" s="56"/>
      <c r="E5" s="56"/>
      <c r="F5" s="56"/>
      <c r="G5" s="56"/>
    </row>
    <row r="6" spans="2:7" ht="36" customHeight="1" x14ac:dyDescent="0.25">
      <c r="B6" s="56"/>
      <c r="C6" s="56"/>
      <c r="D6" s="56"/>
      <c r="E6" s="56"/>
      <c r="F6" s="56"/>
      <c r="G6" s="56"/>
    </row>
    <row r="7" spans="2:7" x14ac:dyDescent="0.25">
      <c r="B7" s="1"/>
      <c r="C7" s="1"/>
      <c r="D7" s="1"/>
      <c r="E7" s="1"/>
      <c r="F7" s="1"/>
      <c r="G7" s="1"/>
    </row>
    <row r="8" spans="2:7" x14ac:dyDescent="0.25">
      <c r="B8" s="3" t="s">
        <v>1</v>
      </c>
      <c r="C8" s="1"/>
      <c r="D8" s="1"/>
      <c r="E8" s="1"/>
      <c r="F8" s="1"/>
      <c r="G8" s="1"/>
    </row>
    <row r="9" spans="2:7" ht="15" customHeight="1" x14ac:dyDescent="0.25">
      <c r="B9" s="53" t="s">
        <v>98</v>
      </c>
      <c r="C9" s="53"/>
      <c r="D9" s="53"/>
      <c r="E9" s="53"/>
      <c r="F9" s="53"/>
      <c r="G9" s="1"/>
    </row>
    <row r="10" spans="2:7" ht="15" customHeight="1" x14ac:dyDescent="0.25">
      <c r="B10" s="53" t="s">
        <v>99</v>
      </c>
      <c r="C10" s="53"/>
      <c r="D10" s="53"/>
      <c r="E10" s="53"/>
      <c r="F10" s="53"/>
      <c r="G10" s="1"/>
    </row>
    <row r="11" spans="2:7" ht="15" customHeight="1" x14ac:dyDescent="0.25">
      <c r="B11" s="53" t="s">
        <v>100</v>
      </c>
      <c r="C11" s="53"/>
      <c r="D11" s="53"/>
      <c r="E11" s="53"/>
      <c r="F11" s="53"/>
      <c r="G11" s="1"/>
    </row>
    <row r="12" spans="2:7" ht="15" customHeight="1" x14ac:dyDescent="0.25">
      <c r="B12" s="53" t="s">
        <v>101</v>
      </c>
      <c r="C12" s="53"/>
      <c r="D12" s="53"/>
      <c r="E12" s="53"/>
      <c r="F12" s="53"/>
      <c r="G12" s="1"/>
    </row>
    <row r="13" spans="2:7" ht="15" customHeight="1" x14ac:dyDescent="0.25">
      <c r="B13" s="53" t="s">
        <v>121</v>
      </c>
      <c r="C13" s="53"/>
      <c r="D13" s="53"/>
      <c r="E13" s="53"/>
      <c r="F13" s="53"/>
      <c r="G13" s="1"/>
    </row>
    <row r="14" spans="2:7" x14ac:dyDescent="0.25">
      <c r="B14" s="1"/>
      <c r="C14" s="1"/>
      <c r="D14" s="1"/>
      <c r="E14" s="1"/>
      <c r="F14" s="1"/>
      <c r="G14" s="1"/>
    </row>
    <row r="15" spans="2:7" x14ac:dyDescent="0.25">
      <c r="B15" s="3" t="s">
        <v>2</v>
      </c>
      <c r="C15" s="1"/>
      <c r="D15" s="1"/>
      <c r="E15" s="1"/>
      <c r="F15" s="1"/>
      <c r="G15" s="1"/>
    </row>
    <row r="16" spans="2:7" ht="15" customHeight="1" x14ac:dyDescent="0.25">
      <c r="B16" s="54" t="s">
        <v>3</v>
      </c>
      <c r="C16" s="54"/>
      <c r="D16" s="54"/>
      <c r="E16" s="54"/>
      <c r="F16" s="54"/>
      <c r="G16" s="1"/>
    </row>
    <row r="17" spans="2:7" ht="15" customHeight="1" x14ac:dyDescent="0.25">
      <c r="B17" s="54" t="s">
        <v>4</v>
      </c>
      <c r="C17" s="54"/>
      <c r="D17" s="54"/>
      <c r="E17" s="54"/>
      <c r="F17" s="54"/>
      <c r="G17" s="1"/>
    </row>
    <row r="18" spans="2:7" ht="15" customHeight="1" x14ac:dyDescent="0.25">
      <c r="B18" s="54" t="s">
        <v>5</v>
      </c>
      <c r="C18" s="54"/>
      <c r="D18" s="54"/>
      <c r="E18" s="54"/>
      <c r="F18" s="54"/>
      <c r="G18" s="1"/>
    </row>
    <row r="19" spans="2:7" ht="15" customHeight="1" x14ac:dyDescent="0.25">
      <c r="B19" s="54" t="s">
        <v>6</v>
      </c>
      <c r="C19" s="54"/>
      <c r="D19" s="54"/>
      <c r="E19" s="54"/>
      <c r="F19" s="54"/>
      <c r="G19" s="1"/>
    </row>
    <row r="20" spans="2:7" ht="15" customHeight="1" x14ac:dyDescent="0.25">
      <c r="B20" s="54" t="s">
        <v>7</v>
      </c>
      <c r="C20" s="54"/>
      <c r="D20" s="54"/>
      <c r="E20" s="54"/>
      <c r="F20" s="54"/>
      <c r="G20" s="1"/>
    </row>
    <row r="21" spans="2:7" ht="15" customHeight="1" x14ac:dyDescent="0.25">
      <c r="B21" s="61" t="s">
        <v>64</v>
      </c>
      <c r="C21" s="61"/>
      <c r="D21" s="61"/>
      <c r="E21" s="61"/>
      <c r="F21" s="61"/>
      <c r="G21" s="1"/>
    </row>
    <row r="22" spans="2:7" ht="15" customHeight="1" x14ac:dyDescent="0.25">
      <c r="B22" s="60" t="s">
        <v>103</v>
      </c>
      <c r="C22" s="54"/>
      <c r="D22" s="54"/>
      <c r="E22" s="54"/>
      <c r="F22" s="54"/>
      <c r="G22" s="1"/>
    </row>
    <row r="23" spans="2:7" x14ac:dyDescent="0.25">
      <c r="B23" s="1"/>
      <c r="C23" s="1"/>
      <c r="D23" s="1"/>
      <c r="E23" s="1"/>
      <c r="F23" s="1"/>
      <c r="G23" s="1"/>
    </row>
    <row r="24" spans="2:7" x14ac:dyDescent="0.25">
      <c r="B24" s="57" t="s">
        <v>59</v>
      </c>
      <c r="C24" s="58"/>
      <c r="D24" s="58"/>
      <c r="E24" s="58"/>
      <c r="F24" s="58"/>
      <c r="G24" s="58"/>
    </row>
    <row r="25" spans="2:7" x14ac:dyDescent="0.25">
      <c r="B25" s="58"/>
      <c r="C25" s="58"/>
      <c r="D25" s="58"/>
      <c r="E25" s="58"/>
      <c r="F25" s="58"/>
      <c r="G25" s="58"/>
    </row>
    <row r="26" spans="2:7" x14ac:dyDescent="0.25">
      <c r="B26" s="58"/>
      <c r="C26" s="58"/>
      <c r="D26" s="58"/>
      <c r="E26" s="58"/>
      <c r="F26" s="58"/>
      <c r="G26" s="58"/>
    </row>
    <row r="27" spans="2:7" x14ac:dyDescent="0.25">
      <c r="B27" s="58"/>
      <c r="C27" s="58"/>
      <c r="D27" s="58"/>
      <c r="E27" s="58"/>
      <c r="F27" s="58"/>
      <c r="G27" s="58"/>
    </row>
    <row r="28" spans="2:7" x14ac:dyDescent="0.25">
      <c r="B28" s="58"/>
      <c r="C28" s="58"/>
      <c r="D28" s="58"/>
      <c r="E28" s="58"/>
      <c r="F28" s="58"/>
      <c r="G28" s="58"/>
    </row>
    <row r="29" spans="2:7" x14ac:dyDescent="0.25">
      <c r="B29" s="58"/>
      <c r="C29" s="58"/>
      <c r="D29" s="58"/>
      <c r="E29" s="58"/>
      <c r="F29" s="58"/>
      <c r="G29" s="58"/>
    </row>
    <row r="30" spans="2:7" x14ac:dyDescent="0.25">
      <c r="B30" s="58"/>
      <c r="C30" s="58"/>
      <c r="D30" s="58"/>
      <c r="E30" s="58"/>
      <c r="F30" s="58"/>
      <c r="G30" s="58"/>
    </row>
    <row r="31" spans="2:7" x14ac:dyDescent="0.25">
      <c r="B31" s="58"/>
      <c r="C31" s="58"/>
      <c r="D31" s="58"/>
      <c r="E31" s="58"/>
      <c r="F31" s="58"/>
      <c r="G31" s="58"/>
    </row>
    <row r="32" spans="2:7" x14ac:dyDescent="0.25">
      <c r="B32" s="58"/>
      <c r="C32" s="58"/>
      <c r="D32" s="58"/>
      <c r="E32" s="58"/>
      <c r="F32" s="58"/>
      <c r="G32" s="58"/>
    </row>
    <row r="33" spans="2:7" ht="93" customHeight="1" x14ac:dyDescent="0.25">
      <c r="B33" s="58"/>
      <c r="C33" s="58"/>
      <c r="D33" s="58"/>
      <c r="E33" s="58"/>
      <c r="F33" s="58"/>
      <c r="G33" s="58"/>
    </row>
    <row r="34" spans="2:7" x14ac:dyDescent="0.25">
      <c r="B34" s="56" t="s">
        <v>58</v>
      </c>
      <c r="C34" s="59"/>
      <c r="D34" s="59"/>
      <c r="E34" s="59"/>
      <c r="F34" s="59"/>
      <c r="G34" s="1"/>
    </row>
    <row r="35" spans="2:7" x14ac:dyDescent="0.25">
      <c r="B35" s="59"/>
      <c r="C35" s="59"/>
      <c r="D35" s="59"/>
      <c r="E35" s="59"/>
      <c r="F35" s="59"/>
      <c r="G35" s="1"/>
    </row>
    <row r="36" spans="2:7" x14ac:dyDescent="0.25">
      <c r="B36" s="59"/>
      <c r="C36" s="59"/>
      <c r="D36" s="59"/>
      <c r="E36" s="59"/>
      <c r="F36" s="59"/>
      <c r="G36" s="1"/>
    </row>
    <row r="37" spans="2:7" x14ac:dyDescent="0.25">
      <c r="B37" s="59"/>
      <c r="C37" s="59"/>
      <c r="D37" s="59"/>
      <c r="E37" s="59"/>
      <c r="F37" s="59"/>
      <c r="G37" s="1"/>
    </row>
    <row r="38" spans="2:7" x14ac:dyDescent="0.25">
      <c r="B38" s="59"/>
      <c r="C38" s="59"/>
      <c r="D38" s="59"/>
      <c r="E38" s="59"/>
      <c r="F38" s="59"/>
      <c r="G38" s="1"/>
    </row>
  </sheetData>
  <mergeCells count="16">
    <mergeCell ref="B24:G33"/>
    <mergeCell ref="B34:F38"/>
    <mergeCell ref="B17:F17"/>
    <mergeCell ref="B18:F18"/>
    <mergeCell ref="B19:F19"/>
    <mergeCell ref="B20:F20"/>
    <mergeCell ref="B22:F22"/>
    <mergeCell ref="B21:F21"/>
    <mergeCell ref="B12:F12"/>
    <mergeCell ref="B13:F13"/>
    <mergeCell ref="B16:F16"/>
    <mergeCell ref="B2:G2"/>
    <mergeCell ref="B9:F9"/>
    <mergeCell ref="B10:F10"/>
    <mergeCell ref="B11:F11"/>
    <mergeCell ref="B5:G6"/>
  </mergeCells>
  <pageMargins left="0.75" right="0.75" top="1" bottom="1" header="0.511811023622047" footer="0.511811023622047"/>
  <pageSetup paperSize="9" orientation="portrait" horizontalDpi="300" verticalDpi="300"/>
  <headerFooter>
    <oddHeader>&amp;C&amp;"Aptos"&amp;12&amp;KFF0000 OFFICIAL&amp;1#_x000D_</oddHeader>
    <oddFooter>&amp;C_x000D_&amp;1#&amp;"Aptos"&amp;12&amp;KFF0000 OFFICIAL</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140"/>
  <sheetViews>
    <sheetView showGridLines="0" tabSelected="1" zoomScale="60" zoomScaleNormal="60" workbookViewId="0">
      <selection activeCell="CE66" sqref="CE66"/>
    </sheetView>
  </sheetViews>
  <sheetFormatPr defaultColWidth="8.7109375" defaultRowHeight="15" outlineLevelRow="1" outlineLevelCol="1" x14ac:dyDescent="0.25"/>
  <cols>
    <col min="1" max="1" width="4" style="1" customWidth="1"/>
    <col min="2" max="2" width="51.7109375" style="1" customWidth="1"/>
    <col min="3" max="3" width="29" style="1" customWidth="1"/>
    <col min="4" max="4" width="29.42578125" style="1" customWidth="1" outlineLevel="1"/>
    <col min="5" max="5" width="26.85546875" style="1" customWidth="1" outlineLevel="1"/>
    <col min="6" max="6" width="24.28515625" style="1" customWidth="1" outlineLevel="1"/>
    <col min="7" max="7" width="23.42578125" style="1" customWidth="1" outlineLevel="1"/>
    <col min="8" max="8" width="21" style="1" customWidth="1" outlineLevel="1"/>
    <col min="9" max="9" width="17.140625" style="1" customWidth="1" outlineLevel="1"/>
    <col min="10" max="10" width="18.5703125" style="1" bestFit="1" customWidth="1" outlineLevel="1"/>
    <col min="11" max="11" width="18.28515625" style="1" customWidth="1" outlineLevel="1"/>
    <col min="12" max="12" width="25.85546875" style="1" customWidth="1" outlineLevel="1"/>
    <col min="13" max="13" width="19" style="1" customWidth="1" outlineLevel="1"/>
    <col min="14" max="14" width="18.5703125" style="1" customWidth="1" outlineLevel="1"/>
    <col min="15" max="16" width="19.28515625" style="1" customWidth="1" outlineLevel="1"/>
    <col min="17" max="17" width="12.28515625" style="1" customWidth="1"/>
    <col min="18" max="16384" width="8.7109375" style="1"/>
  </cols>
  <sheetData>
    <row r="2" spans="2:16" ht="35.1" customHeight="1" thickBot="1" x14ac:dyDescent="0.3">
      <c r="B2" s="64" t="s">
        <v>120</v>
      </c>
      <c r="C2" s="64"/>
      <c r="D2" s="64"/>
      <c r="E2" s="64"/>
      <c r="F2" s="64"/>
      <c r="G2" s="64"/>
      <c r="H2" s="64"/>
      <c r="I2" s="64"/>
      <c r="J2" s="64"/>
      <c r="K2" s="64"/>
      <c r="L2" s="64"/>
      <c r="M2" s="64"/>
      <c r="N2" s="64"/>
      <c r="O2" s="64"/>
      <c r="P2" s="64"/>
    </row>
    <row r="3" spans="2:16" ht="21.75" customHeight="1" thickTop="1" x14ac:dyDescent="0.25">
      <c r="B3" s="49"/>
      <c r="C3" s="49"/>
      <c r="D3" s="49"/>
      <c r="E3" s="49"/>
      <c r="F3" s="49"/>
      <c r="G3" s="49"/>
      <c r="H3" s="49"/>
      <c r="I3" s="49"/>
      <c r="J3" s="49"/>
      <c r="K3" s="49"/>
      <c r="L3" s="49"/>
      <c r="M3" s="49"/>
      <c r="N3" s="49"/>
      <c r="O3" s="49"/>
      <c r="P3" s="49"/>
    </row>
    <row r="4" spans="2:16" ht="18" thickBot="1" x14ac:dyDescent="0.3">
      <c r="B4" s="62" t="s">
        <v>8</v>
      </c>
      <c r="C4" s="62"/>
      <c r="D4" s="62"/>
      <c r="E4" s="62"/>
      <c r="F4" s="62"/>
      <c r="G4" s="62"/>
      <c r="H4" s="62"/>
      <c r="I4" s="62"/>
      <c r="J4" s="62"/>
      <c r="K4" s="62"/>
      <c r="L4" s="62"/>
      <c r="M4" s="62"/>
      <c r="N4" s="62"/>
      <c r="O4" s="62"/>
      <c r="P4" s="12"/>
    </row>
    <row r="5" spans="2:16" ht="21.75" customHeight="1" outlineLevel="1" thickTop="1" x14ac:dyDescent="0.25">
      <c r="B5" s="49"/>
      <c r="C5" s="49"/>
      <c r="D5" s="49"/>
      <c r="E5" s="49"/>
      <c r="F5" s="49"/>
      <c r="G5" s="49"/>
      <c r="H5" s="49"/>
      <c r="I5" s="49"/>
      <c r="J5" s="49"/>
      <c r="K5" s="49"/>
      <c r="L5" s="51"/>
      <c r="M5" s="49"/>
      <c r="N5" s="49"/>
      <c r="O5" s="49"/>
      <c r="P5" s="49"/>
    </row>
    <row r="6" spans="2:16" ht="15" customHeight="1" outlineLevel="1" x14ac:dyDescent="0.25">
      <c r="B6" s="65" t="s">
        <v>9</v>
      </c>
      <c r="C6" s="65"/>
      <c r="D6" s="65"/>
      <c r="E6" s="65"/>
      <c r="F6" s="49"/>
      <c r="G6" s="49"/>
      <c r="H6" s="49"/>
      <c r="I6" s="49"/>
      <c r="J6" s="49"/>
      <c r="K6" s="49"/>
      <c r="L6" s="49"/>
      <c r="M6" s="49"/>
      <c r="N6" s="49"/>
      <c r="O6" s="49"/>
      <c r="P6" s="49"/>
    </row>
    <row r="7" spans="2:16" ht="15" customHeight="1" outlineLevel="1" x14ac:dyDescent="0.25">
      <c r="B7" s="14" t="s">
        <v>10</v>
      </c>
      <c r="C7" s="50">
        <v>100</v>
      </c>
      <c r="D7" s="66" t="s">
        <v>102</v>
      </c>
      <c r="E7" s="67"/>
      <c r="F7" s="67"/>
      <c r="G7" s="68"/>
      <c r="I7" s="49"/>
      <c r="J7" s="49"/>
      <c r="K7" s="49"/>
      <c r="L7" s="49"/>
      <c r="M7" s="49"/>
      <c r="N7" s="49"/>
      <c r="O7" s="49"/>
      <c r="P7" s="49"/>
    </row>
    <row r="8" spans="2:16" ht="15" customHeight="1" outlineLevel="1" x14ac:dyDescent="0.25">
      <c r="B8" s="14" t="s">
        <v>11</v>
      </c>
      <c r="C8" s="6">
        <v>0.4</v>
      </c>
      <c r="D8" s="69"/>
      <c r="E8" s="70"/>
      <c r="F8" s="70"/>
      <c r="G8" s="71"/>
      <c r="I8" s="49"/>
      <c r="J8" s="49"/>
      <c r="K8" s="49"/>
      <c r="L8" s="49"/>
      <c r="M8" s="49"/>
      <c r="N8" s="49"/>
      <c r="O8" s="49"/>
      <c r="P8" s="49"/>
    </row>
    <row r="9" spans="2:16" ht="15" customHeight="1" outlineLevel="1" x14ac:dyDescent="0.25">
      <c r="B9" s="14" t="s">
        <v>12</v>
      </c>
      <c r="C9" s="7">
        <f>C7*C8*C21</f>
        <v>87600</v>
      </c>
      <c r="F9" s="49"/>
      <c r="G9" s="49"/>
      <c r="H9" s="49"/>
      <c r="I9" s="49"/>
      <c r="J9" s="49"/>
      <c r="K9" s="49"/>
      <c r="L9" s="49"/>
      <c r="M9" s="49"/>
      <c r="N9" s="49"/>
      <c r="O9" s="49"/>
      <c r="P9" s="49"/>
    </row>
    <row r="10" spans="2:16" ht="15" customHeight="1" outlineLevel="1" x14ac:dyDescent="0.25">
      <c r="B10" s="14" t="s">
        <v>13</v>
      </c>
      <c r="C10" s="5">
        <v>120</v>
      </c>
      <c r="F10" s="49"/>
      <c r="G10" s="49"/>
      <c r="H10" s="49"/>
      <c r="I10" s="49"/>
      <c r="J10" s="49"/>
      <c r="K10" s="49"/>
      <c r="L10" s="49"/>
      <c r="M10" s="49"/>
      <c r="N10" s="49"/>
      <c r="O10" s="49"/>
      <c r="P10" s="49"/>
    </row>
    <row r="11" spans="2:16" ht="15" customHeight="1" outlineLevel="1" x14ac:dyDescent="0.25">
      <c r="B11" s="14" t="s">
        <v>14</v>
      </c>
      <c r="C11" s="5">
        <f>C9/C7</f>
        <v>876</v>
      </c>
      <c r="F11" s="49"/>
      <c r="G11" s="49"/>
      <c r="H11" s="49"/>
      <c r="I11" s="49"/>
      <c r="J11" s="49"/>
      <c r="K11" s="49"/>
      <c r="L11" s="49"/>
      <c r="M11" s="49"/>
      <c r="N11" s="49"/>
      <c r="O11" s="49"/>
      <c r="P11" s="49"/>
    </row>
    <row r="12" spans="2:16" ht="15" customHeight="1" outlineLevel="1" x14ac:dyDescent="0.25">
      <c r="F12" s="49"/>
      <c r="G12" s="49"/>
      <c r="H12" s="49"/>
      <c r="I12" s="49"/>
      <c r="J12" s="49"/>
      <c r="K12" s="49"/>
      <c r="L12" s="49"/>
      <c r="M12" s="49"/>
      <c r="N12" s="49"/>
      <c r="O12" s="49"/>
      <c r="P12" s="49"/>
    </row>
    <row r="13" spans="2:16" ht="15" customHeight="1" outlineLevel="1" x14ac:dyDescent="0.25">
      <c r="B13" s="65" t="s">
        <v>15</v>
      </c>
      <c r="C13" s="65"/>
      <c r="D13" s="65"/>
      <c r="E13" s="65"/>
      <c r="F13" s="49"/>
      <c r="G13" s="49"/>
      <c r="H13" s="49"/>
      <c r="I13" s="49"/>
      <c r="J13" s="49"/>
      <c r="K13" s="49"/>
      <c r="L13" s="49"/>
      <c r="M13" s="49"/>
      <c r="N13" s="49"/>
      <c r="O13" s="49"/>
      <c r="P13" s="49"/>
    </row>
    <row r="14" spans="2:16" ht="15" customHeight="1" outlineLevel="1" x14ac:dyDescent="0.25">
      <c r="B14" s="14" t="s">
        <v>16</v>
      </c>
      <c r="C14" s="50">
        <v>1000</v>
      </c>
      <c r="F14" s="49"/>
      <c r="G14" s="49"/>
      <c r="H14" s="49"/>
      <c r="I14" s="49"/>
      <c r="J14" s="49"/>
      <c r="K14" s="49"/>
      <c r="L14" s="49"/>
      <c r="M14" s="49"/>
      <c r="N14" s="49"/>
      <c r="O14" s="49"/>
      <c r="P14" s="49"/>
    </row>
    <row r="15" spans="2:16" ht="15" customHeight="1" outlineLevel="1" x14ac:dyDescent="0.25">
      <c r="B15" s="14" t="s">
        <v>17</v>
      </c>
      <c r="C15" s="6">
        <v>0.4</v>
      </c>
      <c r="F15" s="49"/>
      <c r="G15" s="49"/>
      <c r="H15" s="49"/>
      <c r="I15" s="49"/>
      <c r="J15" s="49"/>
      <c r="K15" s="49"/>
      <c r="L15" s="49"/>
      <c r="M15" s="49"/>
      <c r="N15" s="49"/>
      <c r="O15" s="49"/>
      <c r="P15" s="49"/>
    </row>
    <row r="16" spans="2:16" ht="15" customHeight="1" outlineLevel="1" x14ac:dyDescent="0.25">
      <c r="B16" s="14" t="s">
        <v>18</v>
      </c>
      <c r="C16" s="5">
        <f>C15*C14*C21</f>
        <v>876000</v>
      </c>
      <c r="F16" s="49"/>
      <c r="G16" s="49"/>
      <c r="H16" s="49"/>
      <c r="I16" s="49"/>
      <c r="J16" s="49"/>
      <c r="K16" s="49"/>
      <c r="L16" s="49"/>
      <c r="M16" s="49"/>
      <c r="N16" s="49"/>
      <c r="O16" s="49"/>
      <c r="P16" s="49"/>
    </row>
    <row r="17" spans="2:16" ht="15" customHeight="1" outlineLevel="1" x14ac:dyDescent="0.25">
      <c r="B17" s="14" t="s">
        <v>19</v>
      </c>
      <c r="C17" s="5">
        <v>120</v>
      </c>
      <c r="F17" s="49"/>
      <c r="G17" s="49"/>
      <c r="H17" s="49"/>
      <c r="I17" s="49"/>
      <c r="J17" s="49"/>
      <c r="K17" s="49"/>
      <c r="L17" s="49"/>
      <c r="M17" s="49"/>
      <c r="N17" s="49"/>
      <c r="O17" s="49"/>
      <c r="P17" s="49"/>
    </row>
    <row r="18" spans="2:16" ht="15" customHeight="1" outlineLevel="1" x14ac:dyDescent="0.25">
      <c r="B18" s="14" t="s">
        <v>20</v>
      </c>
      <c r="C18" s="5">
        <f>C16/C14</f>
        <v>876</v>
      </c>
      <c r="F18" s="49"/>
      <c r="G18" s="49"/>
      <c r="H18" s="49"/>
      <c r="I18" s="49"/>
      <c r="J18" s="49"/>
      <c r="K18" s="49"/>
      <c r="L18" s="49"/>
      <c r="M18" s="49"/>
      <c r="N18" s="49"/>
      <c r="O18" s="49"/>
      <c r="P18" s="49"/>
    </row>
    <row r="19" spans="2:16" ht="15" customHeight="1" outlineLevel="1" x14ac:dyDescent="0.25">
      <c r="F19" s="49"/>
      <c r="G19" s="49"/>
      <c r="H19" s="49"/>
      <c r="I19" s="49"/>
      <c r="J19" s="49"/>
      <c r="K19" s="49"/>
      <c r="L19" s="49"/>
      <c r="M19" s="49"/>
      <c r="N19" s="49"/>
      <c r="O19" s="49"/>
      <c r="P19" s="49"/>
    </row>
    <row r="20" spans="2:16" ht="15" customHeight="1" outlineLevel="1" x14ac:dyDescent="0.25">
      <c r="B20" s="65" t="s">
        <v>21</v>
      </c>
      <c r="C20" s="65"/>
      <c r="D20" s="65"/>
      <c r="E20" s="65"/>
      <c r="F20" s="49"/>
      <c r="G20" s="49"/>
      <c r="H20" s="49"/>
      <c r="I20" s="49"/>
      <c r="J20" s="49"/>
      <c r="K20" s="49"/>
      <c r="L20" s="49"/>
      <c r="M20" s="49"/>
      <c r="N20" s="49"/>
      <c r="O20" s="49"/>
      <c r="P20" s="49"/>
    </row>
    <row r="21" spans="2:16" ht="15" customHeight="1" outlineLevel="1" x14ac:dyDescent="0.25">
      <c r="B21" s="1" t="s">
        <v>60</v>
      </c>
      <c r="C21" s="8">
        <f>8760/4</f>
        <v>2190</v>
      </c>
      <c r="D21" s="13" t="s">
        <v>63</v>
      </c>
      <c r="F21" s="49"/>
      <c r="G21" s="49"/>
      <c r="H21" s="49"/>
      <c r="I21" s="49"/>
      <c r="J21" s="49"/>
      <c r="K21" s="49"/>
      <c r="L21" s="49"/>
      <c r="M21" s="49"/>
      <c r="N21" s="49"/>
      <c r="O21" s="49"/>
      <c r="P21" s="49"/>
    </row>
    <row r="22" spans="2:16" ht="15" customHeight="1" outlineLevel="1" x14ac:dyDescent="0.25">
      <c r="F22" s="49"/>
      <c r="G22" s="49"/>
      <c r="H22" s="49"/>
      <c r="I22" s="49"/>
      <c r="J22" s="49"/>
      <c r="K22" s="49"/>
      <c r="L22" s="49"/>
      <c r="M22" s="49"/>
      <c r="N22" s="49"/>
      <c r="O22" s="49"/>
      <c r="P22" s="49"/>
    </row>
    <row r="23" spans="2:16" ht="15" customHeight="1" outlineLevel="1" x14ac:dyDescent="0.25">
      <c r="B23" s="25" t="s">
        <v>22</v>
      </c>
      <c r="F23" s="49"/>
      <c r="G23" s="49"/>
      <c r="H23" s="49"/>
      <c r="I23" s="49"/>
      <c r="J23" s="49"/>
      <c r="K23" s="49"/>
      <c r="L23" s="49"/>
      <c r="M23" s="49"/>
      <c r="N23" s="49"/>
      <c r="O23" s="49"/>
      <c r="P23" s="49"/>
    </row>
    <row r="24" spans="2:16" ht="15" customHeight="1" outlineLevel="1" x14ac:dyDescent="0.25">
      <c r="B24" s="14" t="s">
        <v>23</v>
      </c>
      <c r="C24" s="9">
        <v>120</v>
      </c>
      <c r="F24" s="49"/>
      <c r="G24" s="49"/>
      <c r="H24" s="49"/>
      <c r="I24" s="49"/>
      <c r="J24" s="49"/>
      <c r="K24" s="49"/>
      <c r="L24" s="49"/>
      <c r="M24" s="49"/>
      <c r="N24" s="49"/>
      <c r="O24" s="49"/>
      <c r="P24" s="49"/>
    </row>
    <row r="25" spans="2:16" ht="15" customHeight="1" outlineLevel="1" x14ac:dyDescent="0.25">
      <c r="B25" s="14" t="s">
        <v>106</v>
      </c>
      <c r="C25" s="6">
        <v>1</v>
      </c>
      <c r="F25" s="49"/>
      <c r="G25" s="49"/>
      <c r="H25" s="49"/>
      <c r="I25" s="49"/>
      <c r="J25" s="49"/>
      <c r="K25" s="49"/>
      <c r="L25" s="49"/>
      <c r="M25" s="49"/>
      <c r="N25" s="49"/>
      <c r="O25" s="49"/>
      <c r="P25" s="49"/>
    </row>
    <row r="26" spans="2:16" ht="15" customHeight="1" outlineLevel="1" x14ac:dyDescent="0.25">
      <c r="B26" s="14" t="s">
        <v>24</v>
      </c>
      <c r="C26" s="7">
        <f>C25*C9</f>
        <v>87600</v>
      </c>
      <c r="F26" s="49"/>
      <c r="G26" s="49"/>
      <c r="H26" s="49"/>
      <c r="I26" s="49"/>
      <c r="J26" s="49"/>
      <c r="K26" s="49"/>
      <c r="L26" s="49"/>
      <c r="M26" s="49"/>
      <c r="N26" s="49"/>
      <c r="O26" s="49"/>
      <c r="P26" s="49"/>
    </row>
    <row r="27" spans="2:16" ht="15" customHeight="1" outlineLevel="1" x14ac:dyDescent="0.25">
      <c r="B27" s="14"/>
      <c r="F27" s="49"/>
      <c r="G27" s="49"/>
      <c r="H27" s="49"/>
      <c r="I27" s="49"/>
      <c r="J27" s="49"/>
      <c r="K27" s="49"/>
      <c r="L27" s="49"/>
      <c r="M27" s="49"/>
      <c r="N27" s="49"/>
      <c r="O27" s="49"/>
      <c r="P27" s="49"/>
    </row>
    <row r="28" spans="2:16" ht="15" customHeight="1" outlineLevel="1" x14ac:dyDescent="0.25">
      <c r="B28" s="25" t="s">
        <v>25</v>
      </c>
      <c r="F28" s="49"/>
      <c r="G28" s="49"/>
      <c r="H28" s="49"/>
      <c r="I28" s="49"/>
      <c r="J28" s="49"/>
      <c r="K28" s="49"/>
      <c r="L28" s="49"/>
      <c r="M28" s="49"/>
      <c r="N28" s="49"/>
      <c r="O28" s="49"/>
      <c r="P28" s="49"/>
    </row>
    <row r="29" spans="2:16" ht="15" customHeight="1" outlineLevel="1" x14ac:dyDescent="0.25">
      <c r="B29" s="14" t="s">
        <v>26</v>
      </c>
      <c r="C29" s="10">
        <v>1</v>
      </c>
      <c r="F29" s="49"/>
      <c r="G29" s="49"/>
      <c r="H29" s="49"/>
      <c r="I29" s="49"/>
      <c r="J29" s="49"/>
      <c r="K29" s="49"/>
      <c r="L29" s="49"/>
      <c r="M29" s="49"/>
      <c r="N29" s="49"/>
      <c r="O29" s="49"/>
      <c r="P29" s="49"/>
    </row>
    <row r="30" spans="2:16" ht="15" customHeight="1" outlineLevel="1" x14ac:dyDescent="0.25">
      <c r="B30" s="14" t="s">
        <v>27</v>
      </c>
      <c r="C30" s="7">
        <f>'Ilustrative Comparison Tool'!$C$7*'Ilustrative Comparison Tool'!$C$29</f>
        <v>100</v>
      </c>
      <c r="F30" s="49"/>
      <c r="G30" s="49"/>
      <c r="H30" s="49"/>
      <c r="I30" s="49"/>
      <c r="J30" s="49"/>
      <c r="K30" s="49"/>
      <c r="L30" s="49"/>
      <c r="M30" s="49"/>
      <c r="N30" s="49"/>
      <c r="O30" s="49"/>
      <c r="P30" s="49"/>
    </row>
    <row r="31" spans="2:16" ht="15" customHeight="1" outlineLevel="1" x14ac:dyDescent="0.25">
      <c r="B31" s="14" t="s">
        <v>28</v>
      </c>
      <c r="C31" s="7">
        <f>C9*C24/C7</f>
        <v>105120</v>
      </c>
      <c r="D31" s="13" t="s">
        <v>61</v>
      </c>
      <c r="F31" s="49"/>
      <c r="G31" s="49"/>
      <c r="H31" s="49"/>
      <c r="I31" s="49"/>
      <c r="J31" s="49"/>
      <c r="K31" s="49"/>
      <c r="L31" s="49"/>
      <c r="M31" s="49"/>
      <c r="N31" s="49"/>
      <c r="O31" s="49"/>
      <c r="P31" s="49"/>
    </row>
    <row r="32" spans="2:16" ht="15" customHeight="1" outlineLevel="1" x14ac:dyDescent="0.25">
      <c r="F32" s="49"/>
      <c r="G32" s="49"/>
      <c r="H32" s="49"/>
      <c r="I32" s="49"/>
      <c r="J32" s="49"/>
      <c r="K32" s="49"/>
      <c r="L32" s="49"/>
      <c r="M32" s="49"/>
      <c r="N32" s="49"/>
      <c r="O32" s="49"/>
      <c r="P32" s="49"/>
    </row>
    <row r="33" spans="2:16" ht="15" customHeight="1" outlineLevel="1" x14ac:dyDescent="0.25">
      <c r="B33" s="25" t="s">
        <v>54</v>
      </c>
      <c r="F33" s="49"/>
      <c r="G33" s="49"/>
      <c r="H33" s="49"/>
      <c r="I33" s="49"/>
      <c r="J33" s="49"/>
      <c r="K33" s="49"/>
      <c r="L33" s="49"/>
      <c r="M33" s="49"/>
      <c r="N33" s="49"/>
      <c r="O33" s="49"/>
      <c r="P33" s="49"/>
    </row>
    <row r="34" spans="2:16" ht="15" customHeight="1" outlineLevel="1" x14ac:dyDescent="0.25">
      <c r="B34" s="14" t="s">
        <v>26</v>
      </c>
      <c r="C34" s="10">
        <v>1</v>
      </c>
      <c r="F34" s="49"/>
      <c r="G34" s="49"/>
      <c r="H34" s="49"/>
      <c r="I34" s="49"/>
      <c r="J34" s="49"/>
      <c r="K34" s="49"/>
      <c r="L34" s="49"/>
      <c r="M34" s="49"/>
      <c r="N34" s="49"/>
      <c r="O34" s="49"/>
      <c r="P34" s="49"/>
    </row>
    <row r="35" spans="2:16" ht="15" customHeight="1" outlineLevel="1" x14ac:dyDescent="0.25">
      <c r="B35" s="14" t="s">
        <v>27</v>
      </c>
      <c r="C35" s="15">
        <f>'Ilustrative Comparison Tool'!$C$7*$C$34</f>
        <v>100</v>
      </c>
      <c r="F35" s="49"/>
      <c r="G35" s="49"/>
      <c r="H35" s="49"/>
      <c r="I35" s="49"/>
      <c r="J35" s="49"/>
      <c r="K35" s="49"/>
      <c r="L35" s="49"/>
      <c r="M35" s="49"/>
      <c r="N35" s="49"/>
      <c r="O35" s="49"/>
      <c r="P35" s="49"/>
    </row>
    <row r="36" spans="2:16" ht="15" customHeight="1" outlineLevel="1" x14ac:dyDescent="0.25">
      <c r="B36" s="14" t="s">
        <v>23</v>
      </c>
      <c r="C36" s="11">
        <f>C24</f>
        <v>120</v>
      </c>
      <c r="D36" s="13" t="s">
        <v>62</v>
      </c>
      <c r="F36" s="49"/>
      <c r="G36" s="49"/>
      <c r="H36" s="49"/>
      <c r="I36" s="49"/>
      <c r="J36" s="49"/>
      <c r="K36" s="49"/>
      <c r="L36" s="49"/>
      <c r="M36" s="49"/>
      <c r="N36" s="49"/>
      <c r="O36" s="49"/>
      <c r="P36" s="49"/>
    </row>
    <row r="37" spans="2:16" ht="9" customHeight="1" outlineLevel="1" x14ac:dyDescent="0.25">
      <c r="B37" s="49"/>
      <c r="C37" s="49"/>
      <c r="D37" s="49"/>
      <c r="E37" s="49"/>
      <c r="F37" s="49"/>
      <c r="G37" s="49"/>
      <c r="H37" s="49"/>
      <c r="I37" s="49"/>
      <c r="J37" s="49"/>
      <c r="K37" s="49"/>
      <c r="L37" s="49"/>
      <c r="M37" s="49"/>
      <c r="N37" s="49"/>
      <c r="O37" s="49"/>
      <c r="P37" s="49"/>
    </row>
    <row r="38" spans="2:16" ht="18" thickBot="1" x14ac:dyDescent="0.3">
      <c r="B38" s="62" t="s">
        <v>77</v>
      </c>
      <c r="C38" s="62"/>
      <c r="D38" s="62"/>
      <c r="E38" s="62"/>
      <c r="F38" s="62"/>
      <c r="G38" s="62"/>
      <c r="H38" s="62"/>
      <c r="I38" s="62"/>
      <c r="J38" s="62"/>
      <c r="K38" s="62"/>
      <c r="L38" s="62"/>
      <c r="M38" s="62"/>
      <c r="N38" s="62"/>
      <c r="O38" s="62"/>
      <c r="P38" s="12"/>
    </row>
    <row r="39" spans="2:16" ht="15.75" outlineLevel="1" thickTop="1" x14ac:dyDescent="0.25"/>
    <row r="40" spans="2:16" outlineLevel="1" x14ac:dyDescent="0.25">
      <c r="B40" s="29"/>
      <c r="C40" s="29"/>
      <c r="D40" s="29"/>
      <c r="E40" s="73" t="s">
        <v>75</v>
      </c>
      <c r="F40" s="73"/>
      <c r="G40" s="73" t="s">
        <v>104</v>
      </c>
      <c r="H40" s="73"/>
      <c r="I40" s="29"/>
      <c r="J40" s="29"/>
      <c r="K40" s="29"/>
      <c r="L40" s="29"/>
    </row>
    <row r="41" spans="2:16" outlineLevel="1" x14ac:dyDescent="0.25">
      <c r="B41" s="45" t="s">
        <v>65</v>
      </c>
      <c r="C41" s="72" t="s">
        <v>66</v>
      </c>
      <c r="D41" s="72"/>
      <c r="E41" s="45" t="s">
        <v>73</v>
      </c>
      <c r="F41" s="45" t="s">
        <v>74</v>
      </c>
      <c r="G41" s="45" t="s">
        <v>73</v>
      </c>
      <c r="H41" s="45" t="s">
        <v>74</v>
      </c>
      <c r="I41" s="29"/>
      <c r="J41" s="29"/>
      <c r="K41" s="29"/>
      <c r="L41" s="29"/>
    </row>
    <row r="42" spans="2:16" ht="13.5" customHeight="1" outlineLevel="1" x14ac:dyDescent="0.25">
      <c r="B42" s="38" t="s">
        <v>76</v>
      </c>
      <c r="C42" s="39" t="s">
        <v>67</v>
      </c>
      <c r="D42" s="29"/>
      <c r="E42" s="40">
        <v>0</v>
      </c>
      <c r="F42" s="41">
        <v>0</v>
      </c>
      <c r="G42" s="41">
        <v>0</v>
      </c>
      <c r="H42" s="41">
        <v>0</v>
      </c>
      <c r="I42" s="63" t="s">
        <v>96</v>
      </c>
      <c r="J42" s="63"/>
      <c r="K42" s="63"/>
      <c r="L42" s="63"/>
    </row>
    <row r="43" spans="2:16" outlineLevel="1" x14ac:dyDescent="0.25">
      <c r="B43" s="38" t="s">
        <v>109</v>
      </c>
      <c r="C43" s="39" t="s">
        <v>68</v>
      </c>
      <c r="D43" s="29"/>
      <c r="E43" s="42">
        <v>0</v>
      </c>
      <c r="F43" s="43">
        <v>-0.2</v>
      </c>
      <c r="G43" s="43">
        <v>0</v>
      </c>
      <c r="H43" s="43">
        <v>0</v>
      </c>
      <c r="I43" s="63"/>
      <c r="J43" s="63"/>
      <c r="K43" s="63"/>
      <c r="L43" s="63"/>
    </row>
    <row r="44" spans="2:16" outlineLevel="1" x14ac:dyDescent="0.25">
      <c r="B44" s="38" t="s">
        <v>110</v>
      </c>
      <c r="C44" s="39" t="s">
        <v>69</v>
      </c>
      <c r="D44" s="29"/>
      <c r="E44" s="42">
        <v>0</v>
      </c>
      <c r="F44" s="43">
        <v>0.2</v>
      </c>
      <c r="G44" s="43">
        <v>0</v>
      </c>
      <c r="H44" s="43">
        <v>0</v>
      </c>
      <c r="I44" s="29"/>
      <c r="J44" s="29"/>
      <c r="K44" s="29"/>
      <c r="L44" s="29"/>
    </row>
    <row r="45" spans="2:16" outlineLevel="1" x14ac:dyDescent="0.25">
      <c r="B45" s="38" t="s">
        <v>107</v>
      </c>
      <c r="C45" s="39" t="s">
        <v>70</v>
      </c>
      <c r="D45" s="29"/>
      <c r="E45" s="42">
        <v>-0.2</v>
      </c>
      <c r="F45" s="43">
        <v>0</v>
      </c>
      <c r="G45" s="43">
        <v>0</v>
      </c>
      <c r="H45" s="43">
        <v>0</v>
      </c>
      <c r="I45" s="29"/>
      <c r="J45" s="29"/>
      <c r="K45" s="29"/>
      <c r="L45" s="29"/>
    </row>
    <row r="46" spans="2:16" outlineLevel="1" x14ac:dyDescent="0.25">
      <c r="B46" s="38" t="s">
        <v>108</v>
      </c>
      <c r="C46" s="39" t="s">
        <v>71</v>
      </c>
      <c r="D46" s="29"/>
      <c r="E46" s="42">
        <v>0.2</v>
      </c>
      <c r="F46" s="43">
        <v>0</v>
      </c>
      <c r="G46" s="43">
        <v>0</v>
      </c>
      <c r="H46" s="43">
        <v>0</v>
      </c>
      <c r="I46" s="29"/>
      <c r="J46" s="29"/>
      <c r="K46" s="29"/>
      <c r="L46" s="29"/>
    </row>
    <row r="47" spans="2:16" outlineLevel="1" x14ac:dyDescent="0.25">
      <c r="B47" s="38" t="s">
        <v>111</v>
      </c>
      <c r="C47" s="39" t="s">
        <v>72</v>
      </c>
      <c r="D47" s="29"/>
      <c r="E47" s="42">
        <v>-0.5</v>
      </c>
      <c r="F47" s="43">
        <v>-0.3</v>
      </c>
      <c r="G47" s="43">
        <v>0</v>
      </c>
      <c r="H47" s="43">
        <v>0</v>
      </c>
      <c r="I47" s="29"/>
      <c r="J47" s="29"/>
      <c r="K47" s="29"/>
      <c r="L47" s="29"/>
    </row>
    <row r="48" spans="2:16" outlineLevel="1" x14ac:dyDescent="0.25">
      <c r="B48" s="38" t="s">
        <v>112</v>
      </c>
      <c r="C48" s="39" t="s">
        <v>84</v>
      </c>
      <c r="D48" s="29"/>
      <c r="E48" s="42">
        <v>-0.4</v>
      </c>
      <c r="F48" s="43">
        <v>0.25</v>
      </c>
      <c r="G48" s="42">
        <v>-0.4</v>
      </c>
      <c r="H48" s="43">
        <v>0.25</v>
      </c>
      <c r="I48" s="29"/>
      <c r="J48" s="29"/>
      <c r="K48" s="29"/>
      <c r="L48" s="29"/>
    </row>
    <row r="49" spans="2:16" outlineLevel="1" x14ac:dyDescent="0.25">
      <c r="B49" s="38" t="s">
        <v>113</v>
      </c>
      <c r="C49" s="39" t="s">
        <v>93</v>
      </c>
      <c r="D49" s="29"/>
      <c r="E49" s="42">
        <v>-0.4</v>
      </c>
      <c r="F49" s="43">
        <v>0.2</v>
      </c>
      <c r="G49" s="43">
        <v>-0.3</v>
      </c>
      <c r="H49" s="43">
        <v>0.3</v>
      </c>
      <c r="I49" s="29"/>
      <c r="J49" s="29"/>
      <c r="K49" s="29"/>
      <c r="L49" s="29"/>
    </row>
    <row r="50" spans="2:16" outlineLevel="1" x14ac:dyDescent="0.25">
      <c r="B50" s="38" t="s">
        <v>114</v>
      </c>
      <c r="C50" s="39" t="s">
        <v>92</v>
      </c>
      <c r="D50" s="29"/>
      <c r="E50" s="42">
        <v>-0.3</v>
      </c>
      <c r="F50" s="43">
        <v>0.3</v>
      </c>
      <c r="G50" s="43">
        <v>-0.4</v>
      </c>
      <c r="H50" s="43">
        <v>0.2</v>
      </c>
      <c r="I50" s="29"/>
      <c r="J50" s="29"/>
      <c r="K50" s="29"/>
      <c r="L50" s="29"/>
    </row>
    <row r="51" spans="2:16" outlineLevel="1" x14ac:dyDescent="0.25">
      <c r="B51" s="38" t="s">
        <v>115</v>
      </c>
      <c r="C51" s="44" t="s">
        <v>105</v>
      </c>
      <c r="D51" s="29"/>
      <c r="E51" s="42">
        <v>0.5</v>
      </c>
      <c r="F51" s="43">
        <v>-0.3</v>
      </c>
      <c r="G51" s="43">
        <v>0.5</v>
      </c>
      <c r="H51" s="43">
        <v>-0.3</v>
      </c>
      <c r="I51" s="29"/>
      <c r="J51" s="29"/>
      <c r="K51" s="29"/>
      <c r="L51" s="29"/>
    </row>
    <row r="52" spans="2:16" outlineLevel="1" x14ac:dyDescent="0.25">
      <c r="B52" s="38" t="s">
        <v>116</v>
      </c>
      <c r="C52" s="44" t="s">
        <v>91</v>
      </c>
      <c r="D52" s="29"/>
      <c r="E52" s="42">
        <v>0.4</v>
      </c>
      <c r="F52" s="43">
        <v>-0.4</v>
      </c>
      <c r="G52" s="43">
        <v>0.5</v>
      </c>
      <c r="H52" s="43">
        <v>-0.3</v>
      </c>
      <c r="I52" s="29"/>
      <c r="J52" s="29"/>
      <c r="K52" s="29"/>
      <c r="L52" s="29"/>
    </row>
    <row r="53" spans="2:16" outlineLevel="1" x14ac:dyDescent="0.25">
      <c r="B53" s="38" t="s">
        <v>117</v>
      </c>
      <c r="C53" s="44" t="s">
        <v>90</v>
      </c>
      <c r="D53" s="29"/>
      <c r="E53" s="42">
        <v>0.6</v>
      </c>
      <c r="F53" s="43">
        <v>-0.25</v>
      </c>
      <c r="G53" s="43">
        <v>0.5</v>
      </c>
      <c r="H53" s="43">
        <v>-0.3</v>
      </c>
      <c r="I53" s="29"/>
      <c r="J53" s="29"/>
      <c r="K53" s="29"/>
      <c r="L53" s="29"/>
    </row>
    <row r="54" spans="2:16" outlineLevel="1" x14ac:dyDescent="0.25">
      <c r="B54" s="38" t="s">
        <v>118</v>
      </c>
      <c r="C54" s="44" t="s">
        <v>85</v>
      </c>
      <c r="D54" s="29"/>
      <c r="E54" s="42">
        <v>0</v>
      </c>
      <c r="F54" s="43">
        <v>0</v>
      </c>
      <c r="G54" s="43">
        <v>0</v>
      </c>
      <c r="H54" s="43">
        <v>0</v>
      </c>
      <c r="I54" s="29"/>
      <c r="J54" s="29"/>
      <c r="K54" s="29"/>
      <c r="L54" s="29"/>
    </row>
    <row r="55" spans="2:16" outlineLevel="1" x14ac:dyDescent="0.25"/>
    <row r="56" spans="2:16" ht="18" thickBot="1" x14ac:dyDescent="0.3">
      <c r="B56" s="62" t="s">
        <v>95</v>
      </c>
      <c r="C56" s="62"/>
      <c r="D56" s="62"/>
      <c r="E56" s="62"/>
      <c r="F56" s="62"/>
      <c r="G56" s="62"/>
      <c r="H56" s="62"/>
      <c r="I56" s="62"/>
      <c r="J56" s="62"/>
      <c r="K56" s="62"/>
      <c r="L56" s="62"/>
      <c r="M56" s="62"/>
      <c r="N56" s="62"/>
      <c r="O56" s="62"/>
      <c r="P56" s="12"/>
    </row>
    <row r="57" spans="2:16" ht="15.75" outlineLevel="1" thickTop="1" x14ac:dyDescent="0.25"/>
    <row r="58" spans="2:16" ht="70.5" customHeight="1" outlineLevel="1" x14ac:dyDescent="0.25">
      <c r="B58" s="52" t="s">
        <v>119</v>
      </c>
      <c r="C58" s="47" t="str">
        <f>B42</f>
        <v>Base Case</v>
      </c>
      <c r="D58" s="48" t="str">
        <f>B43</f>
        <v xml:space="preserve">Scenario 1: Project DWAP &lt; Reference DWAP </v>
      </c>
      <c r="E58" s="48" t="str">
        <f>B44</f>
        <v>Scenario 2: Project DWAP &gt; Reference DWAP</v>
      </c>
      <c r="F58" s="48" t="str">
        <f>B45</f>
        <v>Scenario 3: Project Volume &lt; Reference Volume</v>
      </c>
      <c r="G58" s="48" t="str">
        <f>B46</f>
        <v>Scenario 4: Project Volume &gt;  Reference Volume</v>
      </c>
      <c r="H58" s="48" t="str">
        <f>B47</f>
        <v>Scenario 5: FM Event</v>
      </c>
      <c r="I58" s="47" t="str">
        <f>B48</f>
        <v>Senario 6: VRE Drought</v>
      </c>
      <c r="J58" s="48" t="str">
        <f>B49</f>
        <v>Scenario 7: VRE drought, project underperforms</v>
      </c>
      <c r="K58" s="48" t="str">
        <f>B50</f>
        <v>Scenario 8: VRE drought, project overperforms</v>
      </c>
      <c r="L58" s="48" t="str">
        <f>B51</f>
        <v>Scenario 9: VRE oversupply</v>
      </c>
      <c r="M58" s="48" t="str">
        <f>B52</f>
        <v>Scenario 10: VRE oversupply, project underperforms</v>
      </c>
      <c r="N58" s="48" t="str">
        <f>B53</f>
        <v>Scenario 11: VRE oversupply, project overperforms</v>
      </c>
      <c r="O58" s="48" t="str">
        <f>B54</f>
        <v>Scenario 12: Blank</v>
      </c>
    </row>
    <row r="59" spans="2:16" outlineLevel="1" x14ac:dyDescent="0.25">
      <c r="B59" s="17" t="s">
        <v>81</v>
      </c>
      <c r="C59" s="46">
        <f>'Ilustrative Comparison Tool'!C16</f>
        <v>876000</v>
      </c>
      <c r="D59" s="46">
        <f>$C$59*(1+G43)</f>
        <v>876000</v>
      </c>
      <c r="E59" s="46">
        <f>$C$59*(1+G44)</f>
        <v>876000</v>
      </c>
      <c r="F59" s="46">
        <f>$C$59*(1+G45)</f>
        <v>876000</v>
      </c>
      <c r="G59" s="46">
        <f>$C$59*(1+G46)</f>
        <v>876000</v>
      </c>
      <c r="H59" s="46">
        <f>$C$59*(1+G47)</f>
        <v>876000</v>
      </c>
      <c r="I59" s="46">
        <f>$C$59*(1+G48)</f>
        <v>525600</v>
      </c>
      <c r="J59" s="46">
        <f>$C$59*(1+G49)</f>
        <v>613200</v>
      </c>
      <c r="K59" s="46">
        <f>$C$59*(1+G50)</f>
        <v>525600</v>
      </c>
      <c r="L59" s="46">
        <f>$C$59*(1+G51)</f>
        <v>1314000</v>
      </c>
      <c r="M59" s="46">
        <f>$C$59*(1+G52)</f>
        <v>1314000</v>
      </c>
      <c r="N59" s="46">
        <f>$C$59*(1+G53)</f>
        <v>1314000</v>
      </c>
      <c r="O59" s="46">
        <f>IF(SUM(E54:H54)=0,0,$C$59*(1+G54))</f>
        <v>0</v>
      </c>
    </row>
    <row r="60" spans="2:16" outlineLevel="1" x14ac:dyDescent="0.25">
      <c r="B60" s="17" t="s">
        <v>82</v>
      </c>
      <c r="C60" s="46">
        <f>C59/'Ilustrative Comparison Tool'!$C$14</f>
        <v>876</v>
      </c>
      <c r="D60" s="46">
        <f>D59/'Ilustrative Comparison Tool'!$C$14</f>
        <v>876</v>
      </c>
      <c r="E60" s="46">
        <f>E59/'Ilustrative Comparison Tool'!$C$14</f>
        <v>876</v>
      </c>
      <c r="F60" s="46">
        <f>F59/'Ilustrative Comparison Tool'!$C$14</f>
        <v>876</v>
      </c>
      <c r="G60" s="46">
        <f>G59/'Ilustrative Comparison Tool'!$C$14</f>
        <v>876</v>
      </c>
      <c r="H60" s="46">
        <f>H59/'Ilustrative Comparison Tool'!$C$14</f>
        <v>876</v>
      </c>
      <c r="I60" s="46">
        <f>I59/'Ilustrative Comparison Tool'!$C$14</f>
        <v>525.6</v>
      </c>
      <c r="J60" s="46">
        <f>J59/'Ilustrative Comparison Tool'!$C$14</f>
        <v>613.20000000000005</v>
      </c>
      <c r="K60" s="46">
        <f>K59/'Ilustrative Comparison Tool'!$C$14</f>
        <v>525.6</v>
      </c>
      <c r="L60" s="46">
        <f>L59/'Ilustrative Comparison Tool'!$C$14</f>
        <v>1314</v>
      </c>
      <c r="M60" s="46">
        <f>M59/'Ilustrative Comparison Tool'!$C$14</f>
        <v>1314</v>
      </c>
      <c r="N60" s="46">
        <f>N59/'Ilustrative Comparison Tool'!$C$14</f>
        <v>1314</v>
      </c>
      <c r="O60" s="46">
        <f>IF(SUM(E54:H54)=0,0,O59/'Ilustrative Comparison Tool'!$C$14)</f>
        <v>0</v>
      </c>
    </row>
    <row r="61" spans="2:16" outlineLevel="1" x14ac:dyDescent="0.25">
      <c r="B61" s="17" t="s">
        <v>19</v>
      </c>
      <c r="C61" s="46">
        <f>'Ilustrative Comparison Tool'!C17</f>
        <v>120</v>
      </c>
      <c r="D61" s="46">
        <f>$C$61*(1+H43)</f>
        <v>120</v>
      </c>
      <c r="E61" s="46">
        <f>$C$61*(1+H44)</f>
        <v>120</v>
      </c>
      <c r="F61" s="46">
        <f>$C$61*(1+H45)</f>
        <v>120</v>
      </c>
      <c r="G61" s="46">
        <f>$C$61*(1+H46)</f>
        <v>120</v>
      </c>
      <c r="H61" s="46">
        <f>$C$61*(1+H47)</f>
        <v>120</v>
      </c>
      <c r="I61" s="46">
        <f>$C$61*(1+H48)</f>
        <v>150</v>
      </c>
      <c r="J61" s="46">
        <f>$C$61*(1+H49)</f>
        <v>156</v>
      </c>
      <c r="K61" s="46">
        <f>$C$61*(1+H50)</f>
        <v>144</v>
      </c>
      <c r="L61" s="46">
        <f>$C$61*(1+H51)</f>
        <v>84</v>
      </c>
      <c r="M61" s="46">
        <f>$C$61*(1+H52)</f>
        <v>84</v>
      </c>
      <c r="N61" s="46">
        <f>$C$61*(1+H53)</f>
        <v>84</v>
      </c>
      <c r="O61" s="46">
        <f>IF(SUM(E54:H54)=0,0,$C$61*(1+H54))</f>
        <v>0</v>
      </c>
    </row>
    <row r="62" spans="2:16" outlineLevel="1" x14ac:dyDescent="0.25">
      <c r="B62" s="17" t="s">
        <v>31</v>
      </c>
      <c r="C62" s="18">
        <f>C59*C61</f>
        <v>105120000</v>
      </c>
      <c r="D62" s="18">
        <f>D59*D61</f>
        <v>105120000</v>
      </c>
      <c r="E62" s="18">
        <f t="shared" ref="E62:G62" si="0">E59*E61</f>
        <v>105120000</v>
      </c>
      <c r="F62" s="18">
        <f>F59*F61</f>
        <v>105120000</v>
      </c>
      <c r="G62" s="18">
        <f t="shared" si="0"/>
        <v>105120000</v>
      </c>
      <c r="H62" s="18">
        <f t="shared" ref="H62:I62" si="1">H59*H61</f>
        <v>105120000</v>
      </c>
      <c r="I62" s="18">
        <f t="shared" si="1"/>
        <v>78840000</v>
      </c>
      <c r="J62" s="18">
        <f t="shared" ref="J62:L62" si="2">J59*J61</f>
        <v>95659200</v>
      </c>
      <c r="K62" s="18">
        <f t="shared" si="2"/>
        <v>75686400</v>
      </c>
      <c r="L62" s="18">
        <f t="shared" si="2"/>
        <v>110376000</v>
      </c>
      <c r="M62" s="18">
        <f>M59*M61</f>
        <v>110376000</v>
      </c>
      <c r="N62" s="18">
        <f>N59*N61</f>
        <v>110376000</v>
      </c>
      <c r="O62" s="18">
        <f>IF(SUM(E54:H54)=0,0,O59*O61)</f>
        <v>0</v>
      </c>
    </row>
    <row r="63" spans="2:16" outlineLevel="1" x14ac:dyDescent="0.25">
      <c r="B63" s="17" t="s">
        <v>32</v>
      </c>
      <c r="C63" s="18">
        <f>C62/'Ilustrative Comparison Tool'!$C$14</f>
        <v>105120</v>
      </c>
      <c r="D63" s="18">
        <f>D62/'Ilustrative Comparison Tool'!$C$14</f>
        <v>105120</v>
      </c>
      <c r="E63" s="18">
        <f>E62/'Ilustrative Comparison Tool'!$C$14</f>
        <v>105120</v>
      </c>
      <c r="F63" s="18">
        <f>F62/'Ilustrative Comparison Tool'!$C$14</f>
        <v>105120</v>
      </c>
      <c r="G63" s="18">
        <f>G62/'Ilustrative Comparison Tool'!$C$14</f>
        <v>105120</v>
      </c>
      <c r="H63" s="18">
        <f>H62/'Ilustrative Comparison Tool'!$C$14</f>
        <v>105120</v>
      </c>
      <c r="I63" s="18">
        <f>I62/'Ilustrative Comparison Tool'!$C$14</f>
        <v>78840</v>
      </c>
      <c r="J63" s="18">
        <f>J62/'Ilustrative Comparison Tool'!$C$14</f>
        <v>95659.199999999997</v>
      </c>
      <c r="K63" s="18">
        <f>K62/'Ilustrative Comparison Tool'!$C$14</f>
        <v>75686.399999999994</v>
      </c>
      <c r="L63" s="18">
        <f>L62/'Ilustrative Comparison Tool'!$C$14</f>
        <v>110376</v>
      </c>
      <c r="M63" s="18">
        <f>M62/'Ilustrative Comparison Tool'!$C$14</f>
        <v>110376</v>
      </c>
      <c r="N63" s="18">
        <f>N62/'Ilustrative Comparison Tool'!$C$14</f>
        <v>110376</v>
      </c>
      <c r="O63" s="18">
        <f>IF(SUM(E54:H54)=0,0,O62/'Ilustrative Comparison Tool'!$C$14)</f>
        <v>0</v>
      </c>
    </row>
    <row r="64" spans="2:16" outlineLevel="1" x14ac:dyDescent="0.25"/>
    <row r="65" spans="2:16" ht="18" thickBot="1" x14ac:dyDescent="0.35">
      <c r="B65" s="27" t="s">
        <v>29</v>
      </c>
      <c r="C65" s="27"/>
      <c r="D65" s="27"/>
      <c r="E65" s="27"/>
      <c r="F65" s="27"/>
      <c r="G65" s="27"/>
      <c r="H65" s="27"/>
      <c r="I65" s="27"/>
      <c r="J65" s="35"/>
      <c r="K65" s="35"/>
      <c r="L65" s="35"/>
      <c r="M65" s="35"/>
      <c r="N65" s="35"/>
      <c r="O65" s="35"/>
      <c r="P65" s="35"/>
    </row>
    <row r="66" spans="2:16" ht="18" outlineLevel="1" thickTop="1" x14ac:dyDescent="0.3">
      <c r="B66" s="36"/>
      <c r="C66" s="36"/>
      <c r="D66" s="36"/>
      <c r="E66" s="36"/>
      <c r="F66" s="36"/>
      <c r="G66" s="36"/>
      <c r="H66" s="36"/>
      <c r="I66" s="36"/>
      <c r="J66" s="37"/>
      <c r="K66" s="37"/>
      <c r="L66" s="37"/>
      <c r="M66" s="37"/>
      <c r="N66" s="37"/>
      <c r="O66" s="37"/>
      <c r="P66" s="37"/>
    </row>
    <row r="67" spans="2:16" ht="75.599999999999994" customHeight="1" outlineLevel="1" x14ac:dyDescent="0.25">
      <c r="B67" s="52" t="s">
        <v>119</v>
      </c>
      <c r="C67" s="47" t="str">
        <f t="shared" ref="C67:G67" si="3">C58</f>
        <v>Base Case</v>
      </c>
      <c r="D67" s="47" t="str">
        <f t="shared" si="3"/>
        <v xml:space="preserve">Scenario 1: Project DWAP &lt; Reference DWAP </v>
      </c>
      <c r="E67" s="47" t="str">
        <f t="shared" si="3"/>
        <v>Scenario 2: Project DWAP &gt; Reference DWAP</v>
      </c>
      <c r="F67" s="47" t="str">
        <f t="shared" si="3"/>
        <v>Scenario 3: Project Volume &lt; Reference Volume</v>
      </c>
      <c r="G67" s="47" t="str">
        <f t="shared" si="3"/>
        <v>Scenario 4: Project Volume &gt;  Reference Volume</v>
      </c>
      <c r="H67" s="47" t="str">
        <f t="shared" ref="H67:O67" si="4">H58</f>
        <v>Scenario 5: FM Event</v>
      </c>
      <c r="I67" s="47" t="str">
        <f t="shared" si="4"/>
        <v>Senario 6: VRE Drought</v>
      </c>
      <c r="J67" s="47" t="str">
        <f t="shared" si="4"/>
        <v>Scenario 7: VRE drought, project underperforms</v>
      </c>
      <c r="K67" s="47" t="str">
        <f t="shared" si="4"/>
        <v>Scenario 8: VRE drought, project overperforms</v>
      </c>
      <c r="L67" s="47" t="str">
        <f t="shared" si="4"/>
        <v>Scenario 9: VRE oversupply</v>
      </c>
      <c r="M67" s="47" t="str">
        <f t="shared" si="4"/>
        <v>Scenario 10: VRE oversupply, project underperforms</v>
      </c>
      <c r="N67" s="47" t="str">
        <f t="shared" si="4"/>
        <v>Scenario 11: VRE oversupply, project overperforms</v>
      </c>
      <c r="O67" s="47" t="str">
        <f t="shared" si="4"/>
        <v>Scenario 12: Blank</v>
      </c>
    </row>
    <row r="68" spans="2:16" outlineLevel="1" x14ac:dyDescent="0.25">
      <c r="B68" s="25" t="s">
        <v>94</v>
      </c>
      <c r="C68" s="28"/>
      <c r="D68" s="28"/>
      <c r="E68" s="28"/>
      <c r="F68" s="28"/>
      <c r="G68" s="28"/>
      <c r="H68" s="28"/>
      <c r="I68" s="28"/>
      <c r="J68" s="28"/>
      <c r="K68" s="28"/>
      <c r="L68" s="28"/>
      <c r="M68" s="28"/>
      <c r="N68" s="28"/>
      <c r="O68" s="28"/>
    </row>
    <row r="69" spans="2:16" outlineLevel="1" x14ac:dyDescent="0.25">
      <c r="B69" s="17" t="s">
        <v>80</v>
      </c>
      <c r="C69" s="7">
        <f>'Ilustrative Comparison Tool'!$C$9</f>
        <v>87600</v>
      </c>
      <c r="D69" s="7">
        <f>$C$69*(1+E43)</f>
        <v>87600</v>
      </c>
      <c r="E69" s="7">
        <f>$C$69*(1+E44)</f>
        <v>87600</v>
      </c>
      <c r="F69" s="7">
        <f>$C$69*(1+E45)</f>
        <v>70080</v>
      </c>
      <c r="G69" s="7">
        <f>$C$69*(1+E46)</f>
        <v>105120</v>
      </c>
      <c r="H69" s="7">
        <f>$C$69*(1+E47)</f>
        <v>43800</v>
      </c>
      <c r="I69" s="7">
        <f>$C$69*(1+E48)</f>
        <v>52560</v>
      </c>
      <c r="J69" s="7">
        <f>$C$69*(1+E49)</f>
        <v>52560</v>
      </c>
      <c r="K69" s="7">
        <f>$C$69*(1+E50)</f>
        <v>61319.999999999993</v>
      </c>
      <c r="L69" s="7">
        <f>$C$69*(1+E51)</f>
        <v>131400</v>
      </c>
      <c r="M69" s="7">
        <f>$C$69*(1+E52)</f>
        <v>122639.99999999999</v>
      </c>
      <c r="N69" s="7">
        <f>$C$69*(1+E53)</f>
        <v>140160</v>
      </c>
      <c r="O69" s="4">
        <f>IF(SUM(E54:H54)=0,0,$C$69*(1+E54))</f>
        <v>0</v>
      </c>
    </row>
    <row r="70" spans="2:16" outlineLevel="1" x14ac:dyDescent="0.25">
      <c r="B70" s="17" t="s">
        <v>13</v>
      </c>
      <c r="C70" s="18">
        <f>'Ilustrative Comparison Tool'!$C$10</f>
        <v>120</v>
      </c>
      <c r="D70" s="18">
        <f>$C$70*(1+F43)</f>
        <v>96</v>
      </c>
      <c r="E70" s="18">
        <f>$C$70*(1+F44)</f>
        <v>144</v>
      </c>
      <c r="F70" s="18">
        <f>$C$70*(1+F45)</f>
        <v>120</v>
      </c>
      <c r="G70" s="18">
        <f>$C$70*(1+F46)</f>
        <v>120</v>
      </c>
      <c r="H70" s="18">
        <f>$C$70*(1+F47)</f>
        <v>84</v>
      </c>
      <c r="I70" s="7">
        <f>$C$70*(1+F48)</f>
        <v>150</v>
      </c>
      <c r="J70" s="18">
        <f>$C$70*(1+F49)</f>
        <v>144</v>
      </c>
      <c r="K70" s="18">
        <f>$C$70*(1+F50)</f>
        <v>156</v>
      </c>
      <c r="L70" s="18">
        <f>$C$70*(1+F51)</f>
        <v>84</v>
      </c>
      <c r="M70" s="18">
        <f>$C$70*(1+F52)</f>
        <v>72</v>
      </c>
      <c r="N70" s="18">
        <f>$C$70*(1+F53)</f>
        <v>90</v>
      </c>
      <c r="O70" s="16">
        <f>IF(SUM(E54:H54)=0,0,$C$70*(1+F54))</f>
        <v>0</v>
      </c>
    </row>
    <row r="71" spans="2:16" outlineLevel="1" x14ac:dyDescent="0.25">
      <c r="B71" s="17" t="s">
        <v>79</v>
      </c>
      <c r="C71" s="18">
        <f>C69*C70</f>
        <v>10512000</v>
      </c>
      <c r="D71" s="18">
        <f t="shared" ref="D71:G71" si="5">D69*D70</f>
        <v>8409600</v>
      </c>
      <c r="E71" s="18">
        <f t="shared" si="5"/>
        <v>12614400</v>
      </c>
      <c r="F71" s="18">
        <f t="shared" si="5"/>
        <v>8409600</v>
      </c>
      <c r="G71" s="18">
        <f t="shared" si="5"/>
        <v>12614400</v>
      </c>
      <c r="H71" s="18">
        <f>H69*H70</f>
        <v>3679200</v>
      </c>
      <c r="I71" s="7">
        <f>I69*I70</f>
        <v>7884000</v>
      </c>
      <c r="J71" s="18">
        <f>J69*J70</f>
        <v>7568640</v>
      </c>
      <c r="K71" s="18">
        <f t="shared" ref="K71:L71" si="6">K69*K70</f>
        <v>9565919.9999999981</v>
      </c>
      <c r="L71" s="18">
        <f t="shared" si="6"/>
        <v>11037600</v>
      </c>
      <c r="M71" s="18">
        <f t="shared" ref="M71" si="7">M69*M70</f>
        <v>8830079.9999999981</v>
      </c>
      <c r="N71" s="18">
        <f>N69*N70</f>
        <v>12614400</v>
      </c>
      <c r="O71" s="16">
        <f>IF(SUM(E54:H54)=0,0,O69*O70)</f>
        <v>0</v>
      </c>
    </row>
    <row r="72" spans="2:16" outlineLevel="1" x14ac:dyDescent="0.25">
      <c r="B72" s="17" t="s">
        <v>30</v>
      </c>
      <c r="C72" s="18">
        <f>C71/'Ilustrative Comparison Tool'!$C$7</f>
        <v>105120</v>
      </c>
      <c r="D72" s="18">
        <f>D71/'Ilustrative Comparison Tool'!$C$7</f>
        <v>84096</v>
      </c>
      <c r="E72" s="18">
        <f>E71/'Ilustrative Comparison Tool'!$C$7</f>
        <v>126144</v>
      </c>
      <c r="F72" s="18">
        <f>F71/'Ilustrative Comparison Tool'!$C$7</f>
        <v>84096</v>
      </c>
      <c r="G72" s="18">
        <f>G71/'Ilustrative Comparison Tool'!$C$7</f>
        <v>126144</v>
      </c>
      <c r="H72" s="18">
        <f>H71/'Ilustrative Comparison Tool'!$C$7</f>
        <v>36792</v>
      </c>
      <c r="I72" s="7">
        <f>I71/'Ilustrative Comparison Tool'!$C$7</f>
        <v>78840</v>
      </c>
      <c r="J72" s="18">
        <f>J71/'Ilustrative Comparison Tool'!$C$7</f>
        <v>75686.399999999994</v>
      </c>
      <c r="K72" s="18">
        <f>K71/'Ilustrative Comparison Tool'!$C$7</f>
        <v>95659.199999999983</v>
      </c>
      <c r="L72" s="18">
        <f>L71/'Ilustrative Comparison Tool'!$C$7</f>
        <v>110376</v>
      </c>
      <c r="M72" s="18">
        <f>M71/'Ilustrative Comparison Tool'!$C$7</f>
        <v>88300.799999999988</v>
      </c>
      <c r="N72" s="18">
        <f>N71/'Ilustrative Comparison Tool'!$C$7</f>
        <v>126144</v>
      </c>
      <c r="O72" s="16">
        <f>IF(SUM(E54:H54)=0,0,O71/'Ilustrative Comparison Tool'!$C$7)</f>
        <v>0</v>
      </c>
    </row>
    <row r="73" spans="2:16" ht="17.25" outlineLevel="1" x14ac:dyDescent="0.25">
      <c r="B73" s="36"/>
      <c r="C73" s="28"/>
      <c r="D73" s="28"/>
      <c r="E73" s="28"/>
      <c r="F73" s="28"/>
      <c r="G73" s="28"/>
      <c r="H73" s="28"/>
      <c r="I73" s="28"/>
      <c r="J73" s="28"/>
      <c r="K73" s="28"/>
      <c r="L73" s="28"/>
      <c r="M73" s="28"/>
      <c r="N73" s="28"/>
      <c r="O73" s="28"/>
    </row>
    <row r="74" spans="2:16" outlineLevel="1" x14ac:dyDescent="0.25">
      <c r="B74" s="25" t="s">
        <v>78</v>
      </c>
      <c r="C74" s="21"/>
      <c r="D74" s="19"/>
      <c r="E74" s="19"/>
      <c r="F74" s="19"/>
      <c r="G74" s="19"/>
      <c r="H74" s="19"/>
    </row>
    <row r="75" spans="2:16" outlineLevel="1" x14ac:dyDescent="0.25">
      <c r="B75" s="17" t="s">
        <v>33</v>
      </c>
      <c r="C75" s="7">
        <f t="shared" ref="C75:G75" si="8">C69</f>
        <v>87600</v>
      </c>
      <c r="D75" s="7">
        <f t="shared" si="8"/>
        <v>87600</v>
      </c>
      <c r="E75" s="7">
        <f t="shared" si="8"/>
        <v>87600</v>
      </c>
      <c r="F75" s="7">
        <f t="shared" si="8"/>
        <v>70080</v>
      </c>
      <c r="G75" s="7">
        <f t="shared" si="8"/>
        <v>105120</v>
      </c>
      <c r="H75" s="7">
        <f t="shared" ref="H75:O75" si="9">H69</f>
        <v>43800</v>
      </c>
      <c r="I75" s="7">
        <f t="shared" si="9"/>
        <v>52560</v>
      </c>
      <c r="J75" s="7">
        <f t="shared" si="9"/>
        <v>52560</v>
      </c>
      <c r="K75" s="7">
        <f t="shared" si="9"/>
        <v>61319.999999999993</v>
      </c>
      <c r="L75" s="7">
        <f t="shared" si="9"/>
        <v>131400</v>
      </c>
      <c r="M75" s="7">
        <f t="shared" si="9"/>
        <v>122639.99999999999</v>
      </c>
      <c r="N75" s="7">
        <f t="shared" si="9"/>
        <v>140160</v>
      </c>
      <c r="O75" s="7">
        <f t="shared" si="9"/>
        <v>0</v>
      </c>
    </row>
    <row r="76" spans="2:16" outlineLevel="1" x14ac:dyDescent="0.25">
      <c r="B76" s="17" t="s">
        <v>83</v>
      </c>
      <c r="C76" s="18">
        <f>'Ilustrative Comparison Tool'!$C$24</f>
        <v>120</v>
      </c>
      <c r="D76" s="18">
        <f>'Ilustrative Comparison Tool'!$C$24</f>
        <v>120</v>
      </c>
      <c r="E76" s="18">
        <f>'Ilustrative Comparison Tool'!$C$24</f>
        <v>120</v>
      </c>
      <c r="F76" s="18">
        <f>'Ilustrative Comparison Tool'!$C$24</f>
        <v>120</v>
      </c>
      <c r="G76" s="18">
        <f>'Ilustrative Comparison Tool'!$C$24</f>
        <v>120</v>
      </c>
      <c r="H76" s="18">
        <f>'Ilustrative Comparison Tool'!$C$24</f>
        <v>120</v>
      </c>
      <c r="I76" s="18">
        <f>'Ilustrative Comparison Tool'!$C$24</f>
        <v>120</v>
      </c>
      <c r="J76" s="18">
        <f>'Ilustrative Comparison Tool'!$C$24</f>
        <v>120</v>
      </c>
      <c r="K76" s="18">
        <f>'Ilustrative Comparison Tool'!$C$24</f>
        <v>120</v>
      </c>
      <c r="L76" s="18">
        <f>'Ilustrative Comparison Tool'!$C$24</f>
        <v>120</v>
      </c>
      <c r="M76" s="18">
        <f>'Ilustrative Comparison Tool'!$C$24</f>
        <v>120</v>
      </c>
      <c r="N76" s="18">
        <f>'Ilustrative Comparison Tool'!$C$24</f>
        <v>120</v>
      </c>
      <c r="O76" s="18">
        <f>IF(SUM(E54:H54)=0,0,'Ilustrative Comparison Tool'!$C$24)</f>
        <v>0</v>
      </c>
    </row>
    <row r="77" spans="2:16" outlineLevel="1" x14ac:dyDescent="0.25">
      <c r="B77" s="17" t="s">
        <v>88</v>
      </c>
      <c r="C77" s="18">
        <f t="shared" ref="C77:G77" si="10">C76-C70</f>
        <v>0</v>
      </c>
      <c r="D77" s="18">
        <f t="shared" si="10"/>
        <v>24</v>
      </c>
      <c r="E77" s="18">
        <f t="shared" si="10"/>
        <v>-24</v>
      </c>
      <c r="F77" s="18">
        <f t="shared" si="10"/>
        <v>0</v>
      </c>
      <c r="G77" s="18">
        <f t="shared" si="10"/>
        <v>0</v>
      </c>
      <c r="H77" s="18">
        <f t="shared" ref="H77:N77" si="11">H76-H70</f>
        <v>36</v>
      </c>
      <c r="I77" s="18">
        <f t="shared" si="11"/>
        <v>-30</v>
      </c>
      <c r="J77" s="18">
        <f t="shared" si="11"/>
        <v>-24</v>
      </c>
      <c r="K77" s="18">
        <f t="shared" si="11"/>
        <v>-36</v>
      </c>
      <c r="L77" s="18">
        <f t="shared" si="11"/>
        <v>36</v>
      </c>
      <c r="M77" s="18">
        <f t="shared" si="11"/>
        <v>48</v>
      </c>
      <c r="N77" s="18">
        <f t="shared" si="11"/>
        <v>30</v>
      </c>
      <c r="O77" s="18">
        <f>IF(SUM(E54:H54)=0,0,O76-O70)</f>
        <v>0</v>
      </c>
    </row>
    <row r="78" spans="2:16" outlineLevel="1" x14ac:dyDescent="0.25">
      <c r="B78" s="17" t="s">
        <v>86</v>
      </c>
      <c r="C78" s="18">
        <f>C75*C77</f>
        <v>0</v>
      </c>
      <c r="D78" s="18">
        <f t="shared" ref="D78:G78" si="12">D75*D77</f>
        <v>2102400</v>
      </c>
      <c r="E78" s="18">
        <f t="shared" si="12"/>
        <v>-2102400</v>
      </c>
      <c r="F78" s="18">
        <f t="shared" si="12"/>
        <v>0</v>
      </c>
      <c r="G78" s="18">
        <f t="shared" si="12"/>
        <v>0</v>
      </c>
      <c r="H78" s="18">
        <f t="shared" ref="H78:I78" si="13">H75*H77</f>
        <v>1576800</v>
      </c>
      <c r="I78" s="18">
        <f t="shared" si="13"/>
        <v>-1576800</v>
      </c>
      <c r="J78" s="18">
        <f t="shared" ref="J78:L78" si="14">J75*J77</f>
        <v>-1261440</v>
      </c>
      <c r="K78" s="18">
        <f t="shared" si="14"/>
        <v>-2207519.9999999995</v>
      </c>
      <c r="L78" s="18">
        <f t="shared" si="14"/>
        <v>4730400</v>
      </c>
      <c r="M78" s="18">
        <f>M75*M77</f>
        <v>5886719.9999999991</v>
      </c>
      <c r="N78" s="18">
        <f>N75*N77</f>
        <v>4204800</v>
      </c>
      <c r="O78" s="18">
        <f t="shared" ref="O78" si="15">O75*O77</f>
        <v>0</v>
      </c>
    </row>
    <row r="79" spans="2:16" outlineLevel="1" x14ac:dyDescent="0.25">
      <c r="B79" s="29" t="s">
        <v>37</v>
      </c>
      <c r="C79" s="30">
        <f t="shared" ref="C79:G79" si="16">C78+C71</f>
        <v>10512000</v>
      </c>
      <c r="D79" s="30">
        <f t="shared" si="16"/>
        <v>10512000</v>
      </c>
      <c r="E79" s="30">
        <f t="shared" si="16"/>
        <v>10512000</v>
      </c>
      <c r="F79" s="30">
        <f t="shared" si="16"/>
        <v>8409600</v>
      </c>
      <c r="G79" s="30">
        <f t="shared" si="16"/>
        <v>12614400</v>
      </c>
      <c r="H79" s="30">
        <f t="shared" ref="H79:O79" si="17">H78+H71</f>
        <v>5256000</v>
      </c>
      <c r="I79" s="30">
        <f t="shared" si="17"/>
        <v>6307200</v>
      </c>
      <c r="J79" s="30">
        <f t="shared" si="17"/>
        <v>6307200</v>
      </c>
      <c r="K79" s="30">
        <f t="shared" si="17"/>
        <v>7358399.9999999981</v>
      </c>
      <c r="L79" s="30">
        <f t="shared" si="17"/>
        <v>15768000</v>
      </c>
      <c r="M79" s="30">
        <f t="shared" si="17"/>
        <v>14716799.999999996</v>
      </c>
      <c r="N79" s="30">
        <f t="shared" si="17"/>
        <v>16819200</v>
      </c>
      <c r="O79" s="30">
        <f t="shared" si="17"/>
        <v>0</v>
      </c>
    </row>
    <row r="80" spans="2:16" outlineLevel="1" x14ac:dyDescent="0.25">
      <c r="B80" s="17"/>
      <c r="C80" s="21"/>
      <c r="D80" s="19"/>
      <c r="E80" s="19"/>
      <c r="F80" s="19"/>
      <c r="G80" s="19"/>
      <c r="H80" s="19"/>
    </row>
    <row r="81" spans="2:15" outlineLevel="1" x14ac:dyDescent="0.25">
      <c r="B81" s="25" t="s">
        <v>22</v>
      </c>
      <c r="C81" s="21"/>
      <c r="D81" s="19"/>
      <c r="E81" s="19"/>
      <c r="F81" s="19"/>
      <c r="G81" s="19"/>
      <c r="H81" s="19"/>
    </row>
    <row r="82" spans="2:15" outlineLevel="1" x14ac:dyDescent="0.25">
      <c r="B82" s="17" t="s">
        <v>33</v>
      </c>
      <c r="C82" s="7">
        <f>'Ilustrative Comparison Tool'!$C$26</f>
        <v>87600</v>
      </c>
      <c r="D82" s="7">
        <f>'Ilustrative Comparison Tool'!$C$26</f>
        <v>87600</v>
      </c>
      <c r="E82" s="7">
        <f>'Ilustrative Comparison Tool'!$C$26</f>
        <v>87600</v>
      </c>
      <c r="F82" s="7">
        <f>'Ilustrative Comparison Tool'!$C$26</f>
        <v>87600</v>
      </c>
      <c r="G82" s="7">
        <f>'Ilustrative Comparison Tool'!$C$26</f>
        <v>87600</v>
      </c>
      <c r="H82" s="7">
        <f>'Ilustrative Comparison Tool'!$C$26</f>
        <v>87600</v>
      </c>
      <c r="I82" s="7">
        <f>'Ilustrative Comparison Tool'!$C$26</f>
        <v>87600</v>
      </c>
      <c r="J82" s="7">
        <f>'Ilustrative Comparison Tool'!$C$26</f>
        <v>87600</v>
      </c>
      <c r="K82" s="7">
        <f>'Ilustrative Comparison Tool'!$C$26</f>
        <v>87600</v>
      </c>
      <c r="L82" s="7">
        <f>'Ilustrative Comparison Tool'!$C$26</f>
        <v>87600</v>
      </c>
      <c r="M82" s="7">
        <f>'Ilustrative Comparison Tool'!$C$26</f>
        <v>87600</v>
      </c>
      <c r="N82" s="7">
        <f>'Ilustrative Comparison Tool'!$C$26</f>
        <v>87600</v>
      </c>
      <c r="O82" s="7" t="str">
        <f>IF(SUM(E54:H54)=0,"",'Ilustrative Comparison Tool'!$C$26)</f>
        <v/>
      </c>
    </row>
    <row r="83" spans="2:15" outlineLevel="1" x14ac:dyDescent="0.25">
      <c r="B83" s="17" t="s">
        <v>34</v>
      </c>
      <c r="C83" s="18">
        <f>'Ilustrative Comparison Tool'!$C$24</f>
        <v>120</v>
      </c>
      <c r="D83" s="18">
        <f>'Ilustrative Comparison Tool'!$C$24</f>
        <v>120</v>
      </c>
      <c r="E83" s="18">
        <f>'Ilustrative Comparison Tool'!$C$24</f>
        <v>120</v>
      </c>
      <c r="F83" s="18">
        <f>'Ilustrative Comparison Tool'!$C$24</f>
        <v>120</v>
      </c>
      <c r="G83" s="18">
        <f>'Ilustrative Comparison Tool'!$C$24</f>
        <v>120</v>
      </c>
      <c r="H83" s="18">
        <f>'Ilustrative Comparison Tool'!$C$24</f>
        <v>120</v>
      </c>
      <c r="I83" s="18">
        <f>'Ilustrative Comparison Tool'!$C$24</f>
        <v>120</v>
      </c>
      <c r="J83" s="18">
        <f>'Ilustrative Comparison Tool'!$C$24</f>
        <v>120</v>
      </c>
      <c r="K83" s="18">
        <f>'Ilustrative Comparison Tool'!$C$24</f>
        <v>120</v>
      </c>
      <c r="L83" s="18">
        <f>'Ilustrative Comparison Tool'!$C$24</f>
        <v>120</v>
      </c>
      <c r="M83" s="18">
        <f>'Ilustrative Comparison Tool'!$C$24</f>
        <v>120</v>
      </c>
      <c r="N83" s="18">
        <f>'Ilustrative Comparison Tool'!$C$24</f>
        <v>120</v>
      </c>
      <c r="O83" s="18">
        <f>IF(SUM(E54:H54)=0,0,'Ilustrative Comparison Tool'!$C$24)</f>
        <v>0</v>
      </c>
    </row>
    <row r="84" spans="2:15" outlineLevel="1" x14ac:dyDescent="0.25">
      <c r="B84" s="17" t="s">
        <v>35</v>
      </c>
      <c r="C84" s="18">
        <f t="shared" ref="C84:G84" si="18">C83-C61</f>
        <v>0</v>
      </c>
      <c r="D84" s="18">
        <f t="shared" si="18"/>
        <v>0</v>
      </c>
      <c r="E84" s="18">
        <f t="shared" si="18"/>
        <v>0</v>
      </c>
      <c r="F84" s="18">
        <f t="shared" si="18"/>
        <v>0</v>
      </c>
      <c r="G84" s="18">
        <f t="shared" si="18"/>
        <v>0</v>
      </c>
      <c r="H84" s="18">
        <f t="shared" ref="H84:N84" si="19">H83-H61</f>
        <v>0</v>
      </c>
      <c r="I84" s="18">
        <f t="shared" si="19"/>
        <v>-30</v>
      </c>
      <c r="J84" s="18">
        <f t="shared" si="19"/>
        <v>-36</v>
      </c>
      <c r="K84" s="18">
        <f t="shared" si="19"/>
        <v>-24</v>
      </c>
      <c r="L84" s="18">
        <f t="shared" si="19"/>
        <v>36</v>
      </c>
      <c r="M84" s="18">
        <f t="shared" si="19"/>
        <v>36</v>
      </c>
      <c r="N84" s="18">
        <f t="shared" si="19"/>
        <v>36</v>
      </c>
      <c r="O84" s="18">
        <f>IF(SUM(E54:H54)=0,0,O83-O61)</f>
        <v>0</v>
      </c>
    </row>
    <row r="85" spans="2:15" outlineLevel="1" x14ac:dyDescent="0.25">
      <c r="B85" s="17" t="s">
        <v>36</v>
      </c>
      <c r="C85" s="18">
        <f t="shared" ref="C85" si="20">C82*C84</f>
        <v>0</v>
      </c>
      <c r="D85" s="18">
        <f t="shared" ref="D85" si="21">D82*D84</f>
        <v>0</v>
      </c>
      <c r="E85" s="18">
        <f t="shared" ref="E85" si="22">E82*E84</f>
        <v>0</v>
      </c>
      <c r="F85" s="18">
        <f t="shared" ref="F85" si="23">F82*F84</f>
        <v>0</v>
      </c>
      <c r="G85" s="18">
        <f t="shared" ref="G85" si="24">G82*G84</f>
        <v>0</v>
      </c>
      <c r="H85" s="18">
        <f>H82*H84</f>
        <v>0</v>
      </c>
      <c r="I85" s="18">
        <f t="shared" ref="I85" si="25">I82*I84</f>
        <v>-2628000</v>
      </c>
      <c r="J85" s="18">
        <f>J82*J84</f>
        <v>-3153600</v>
      </c>
      <c r="K85" s="18">
        <f t="shared" ref="K85:L85" si="26">K82*K84</f>
        <v>-2102400</v>
      </c>
      <c r="L85" s="18">
        <f t="shared" si="26"/>
        <v>3153600</v>
      </c>
      <c r="M85" s="18">
        <f t="shared" ref="M85" si="27">M82*M84</f>
        <v>3153600</v>
      </c>
      <c r="N85" s="18">
        <f t="shared" ref="N85" si="28">N82*N84</f>
        <v>3153600</v>
      </c>
      <c r="O85" s="18">
        <f>IF(SUM(E54:H54)=0,0,O82*O84)</f>
        <v>0</v>
      </c>
    </row>
    <row r="86" spans="2:15" outlineLevel="1" x14ac:dyDescent="0.25">
      <c r="B86" s="29" t="s">
        <v>38</v>
      </c>
      <c r="C86" s="30">
        <f t="shared" ref="C86:G86" si="29">C71+C85</f>
        <v>10512000</v>
      </c>
      <c r="D86" s="30">
        <f t="shared" si="29"/>
        <v>8409600</v>
      </c>
      <c r="E86" s="30">
        <f t="shared" si="29"/>
        <v>12614400</v>
      </c>
      <c r="F86" s="30">
        <f t="shared" si="29"/>
        <v>8409600</v>
      </c>
      <c r="G86" s="30">
        <f t="shared" si="29"/>
        <v>12614400</v>
      </c>
      <c r="H86" s="30">
        <f t="shared" ref="H86:O86" si="30">H71+H85</f>
        <v>3679200</v>
      </c>
      <c r="I86" s="30">
        <f t="shared" si="30"/>
        <v>5256000</v>
      </c>
      <c r="J86" s="30">
        <f t="shared" si="30"/>
        <v>4415040</v>
      </c>
      <c r="K86" s="30">
        <f t="shared" si="30"/>
        <v>7463519.9999999981</v>
      </c>
      <c r="L86" s="30">
        <f t="shared" si="30"/>
        <v>14191200</v>
      </c>
      <c r="M86" s="30">
        <f t="shared" si="30"/>
        <v>11983679.999999998</v>
      </c>
      <c r="N86" s="30">
        <f t="shared" si="30"/>
        <v>15768000</v>
      </c>
      <c r="O86" s="30">
        <f t="shared" si="30"/>
        <v>0</v>
      </c>
    </row>
    <row r="87" spans="2:15" outlineLevel="1" x14ac:dyDescent="0.25">
      <c r="C87" s="23"/>
    </row>
    <row r="88" spans="2:15" outlineLevel="1" x14ac:dyDescent="0.25">
      <c r="B88" s="25" t="s">
        <v>25</v>
      </c>
      <c r="C88" s="23"/>
    </row>
    <row r="89" spans="2:15" outlineLevel="1" x14ac:dyDescent="0.25">
      <c r="B89" s="17" t="s">
        <v>39</v>
      </c>
      <c r="C89" s="18">
        <f t="shared" ref="C89:G89" si="31">C63</f>
        <v>105120</v>
      </c>
      <c r="D89" s="18">
        <f t="shared" si="31"/>
        <v>105120</v>
      </c>
      <c r="E89" s="18">
        <f t="shared" si="31"/>
        <v>105120</v>
      </c>
      <c r="F89" s="18">
        <f t="shared" si="31"/>
        <v>105120</v>
      </c>
      <c r="G89" s="18">
        <f t="shared" si="31"/>
        <v>105120</v>
      </c>
      <c r="H89" s="18">
        <f t="shared" ref="H89:N89" si="32">H63</f>
        <v>105120</v>
      </c>
      <c r="I89" s="18">
        <f t="shared" si="32"/>
        <v>78840</v>
      </c>
      <c r="J89" s="18">
        <f t="shared" si="32"/>
        <v>95659.199999999997</v>
      </c>
      <c r="K89" s="18">
        <f t="shared" si="32"/>
        <v>75686.399999999994</v>
      </c>
      <c r="L89" s="18">
        <f t="shared" si="32"/>
        <v>110376</v>
      </c>
      <c r="M89" s="18">
        <f t="shared" si="32"/>
        <v>110376</v>
      </c>
      <c r="N89" s="18">
        <f t="shared" si="32"/>
        <v>110376</v>
      </c>
      <c r="O89" s="18">
        <f>IF(SUM(E54:H54)=0,0,O63)</f>
        <v>0</v>
      </c>
    </row>
    <row r="90" spans="2:15" outlineLevel="1" x14ac:dyDescent="0.25">
      <c r="B90" s="17" t="s">
        <v>40</v>
      </c>
      <c r="C90" s="18">
        <f>'Ilustrative Comparison Tool'!$C$31</f>
        <v>105120</v>
      </c>
      <c r="D90" s="18">
        <f>'Ilustrative Comparison Tool'!$C$31</f>
        <v>105120</v>
      </c>
      <c r="E90" s="18">
        <f>'Ilustrative Comparison Tool'!$C$31</f>
        <v>105120</v>
      </c>
      <c r="F90" s="18">
        <f>'Ilustrative Comparison Tool'!$C$31</f>
        <v>105120</v>
      </c>
      <c r="G90" s="18">
        <f>'Ilustrative Comparison Tool'!$C$31</f>
        <v>105120</v>
      </c>
      <c r="H90" s="18">
        <f>'Ilustrative Comparison Tool'!$C$31</f>
        <v>105120</v>
      </c>
      <c r="I90" s="18">
        <f>'Ilustrative Comparison Tool'!$C$31</f>
        <v>105120</v>
      </c>
      <c r="J90" s="18">
        <f>'Ilustrative Comparison Tool'!$C$31</f>
        <v>105120</v>
      </c>
      <c r="K90" s="18">
        <f>'Ilustrative Comparison Tool'!$C$31</f>
        <v>105120</v>
      </c>
      <c r="L90" s="18">
        <f>'Ilustrative Comparison Tool'!$C$31</f>
        <v>105120</v>
      </c>
      <c r="M90" s="18">
        <f>'Ilustrative Comparison Tool'!$C$31</f>
        <v>105120</v>
      </c>
      <c r="N90" s="18">
        <f>'Ilustrative Comparison Tool'!$C$31</f>
        <v>105120</v>
      </c>
      <c r="O90" s="18">
        <f>IF(SUM(E54:H54)=0,0,'Ilustrative Comparison Tool'!$C$31)</f>
        <v>0</v>
      </c>
    </row>
    <row r="91" spans="2:15" outlineLevel="1" x14ac:dyDescent="0.25">
      <c r="B91" s="17" t="s">
        <v>41</v>
      </c>
      <c r="C91" s="18">
        <f>C90-C89</f>
        <v>0</v>
      </c>
      <c r="D91" s="18">
        <f t="shared" ref="D91" si="33">D90-D89</f>
        <v>0</v>
      </c>
      <c r="E91" s="18">
        <f t="shared" ref="E91" si="34">E90-E89</f>
        <v>0</v>
      </c>
      <c r="F91" s="18">
        <f t="shared" ref="F91" si="35">F90-F89</f>
        <v>0</v>
      </c>
      <c r="G91" s="18">
        <f t="shared" ref="G91" si="36">G90-G89</f>
        <v>0</v>
      </c>
      <c r="H91" s="18">
        <f t="shared" ref="H91:I91" si="37">H90-H89</f>
        <v>0</v>
      </c>
      <c r="I91" s="18">
        <f t="shared" si="37"/>
        <v>26280</v>
      </c>
      <c r="J91" s="18">
        <f t="shared" ref="J91" si="38">J90-J89</f>
        <v>9460.8000000000029</v>
      </c>
      <c r="K91" s="18">
        <f t="shared" ref="K91:L91" si="39">K90-K89</f>
        <v>29433.600000000006</v>
      </c>
      <c r="L91" s="18">
        <f t="shared" si="39"/>
        <v>-5256</v>
      </c>
      <c r="M91" s="18">
        <f t="shared" ref="M91" si="40">M90-M89</f>
        <v>-5256</v>
      </c>
      <c r="N91" s="18">
        <f t="shared" ref="N91" si="41">N90-N89</f>
        <v>-5256</v>
      </c>
      <c r="O91" s="18">
        <f t="shared" ref="O91" si="42">O90-O89</f>
        <v>0</v>
      </c>
    </row>
    <row r="92" spans="2:15" outlineLevel="1" x14ac:dyDescent="0.25">
      <c r="B92" s="17" t="s">
        <v>42</v>
      </c>
      <c r="C92" s="18">
        <f>C91*'Ilustrative Comparison Tool'!$C$30</f>
        <v>0</v>
      </c>
      <c r="D92" s="18">
        <f>D91*'Ilustrative Comparison Tool'!$C$30</f>
        <v>0</v>
      </c>
      <c r="E92" s="18">
        <f>E91*'Ilustrative Comparison Tool'!$C$30</f>
        <v>0</v>
      </c>
      <c r="F92" s="18">
        <f>F91*'Ilustrative Comparison Tool'!$C$30</f>
        <v>0</v>
      </c>
      <c r="G92" s="18">
        <f>G91*'Ilustrative Comparison Tool'!$C$30</f>
        <v>0</v>
      </c>
      <c r="H92" s="18">
        <f>H91*'Ilustrative Comparison Tool'!$C$30</f>
        <v>0</v>
      </c>
      <c r="I92" s="18">
        <f>I91*'Ilustrative Comparison Tool'!$C$30</f>
        <v>2628000</v>
      </c>
      <c r="J92" s="18">
        <f>J91*'Ilustrative Comparison Tool'!$C$30</f>
        <v>946080.00000000023</v>
      </c>
      <c r="K92" s="18">
        <f>K91*'Ilustrative Comparison Tool'!$C$30</f>
        <v>2943360.0000000005</v>
      </c>
      <c r="L92" s="18">
        <f>L91*'Ilustrative Comparison Tool'!$C$30</f>
        <v>-525600</v>
      </c>
      <c r="M92" s="18">
        <f>M91*'Ilustrative Comparison Tool'!$C$30</f>
        <v>-525600</v>
      </c>
      <c r="N92" s="18">
        <f>N91*'Ilustrative Comparison Tool'!$C$30</f>
        <v>-525600</v>
      </c>
      <c r="O92" s="18">
        <f>O91*'Ilustrative Comparison Tool'!$C$30</f>
        <v>0</v>
      </c>
    </row>
    <row r="93" spans="2:15" outlineLevel="1" x14ac:dyDescent="0.25">
      <c r="B93" s="29" t="s">
        <v>43</v>
      </c>
      <c r="C93" s="30">
        <f t="shared" ref="C93:G93" si="43">C71+C92</f>
        <v>10512000</v>
      </c>
      <c r="D93" s="30">
        <f t="shared" si="43"/>
        <v>8409600</v>
      </c>
      <c r="E93" s="30">
        <f t="shared" si="43"/>
        <v>12614400</v>
      </c>
      <c r="F93" s="30">
        <f t="shared" si="43"/>
        <v>8409600</v>
      </c>
      <c r="G93" s="30">
        <f t="shared" si="43"/>
        <v>12614400</v>
      </c>
      <c r="H93" s="30">
        <f t="shared" ref="H93:O93" si="44">H71+H92</f>
        <v>3679200</v>
      </c>
      <c r="I93" s="30">
        <f t="shared" si="44"/>
        <v>10512000</v>
      </c>
      <c r="J93" s="30">
        <f t="shared" si="44"/>
        <v>8514720</v>
      </c>
      <c r="K93" s="30">
        <f t="shared" si="44"/>
        <v>12509279.999999998</v>
      </c>
      <c r="L93" s="30">
        <f t="shared" si="44"/>
        <v>10512000</v>
      </c>
      <c r="M93" s="30">
        <f t="shared" si="44"/>
        <v>8304479.9999999981</v>
      </c>
      <c r="N93" s="30">
        <f t="shared" si="44"/>
        <v>12088800</v>
      </c>
      <c r="O93" s="30">
        <f t="shared" si="44"/>
        <v>0</v>
      </c>
    </row>
    <row r="94" spans="2:15" outlineLevel="1" x14ac:dyDescent="0.25">
      <c r="C94" s="23"/>
    </row>
    <row r="95" spans="2:15" outlineLevel="1" x14ac:dyDescent="0.25">
      <c r="B95" s="25" t="s">
        <v>54</v>
      </c>
      <c r="C95" s="23"/>
    </row>
    <row r="96" spans="2:15" outlineLevel="1" x14ac:dyDescent="0.25">
      <c r="B96" s="17" t="s">
        <v>33</v>
      </c>
      <c r="C96" s="7">
        <f>C60*'Ilustrative Comparison Tool'!$C$35</f>
        <v>87600</v>
      </c>
      <c r="D96" s="7">
        <f>D60*'Ilustrative Comparison Tool'!$C$35</f>
        <v>87600</v>
      </c>
      <c r="E96" s="7">
        <f>E60*'Ilustrative Comparison Tool'!$C$35</f>
        <v>87600</v>
      </c>
      <c r="F96" s="7">
        <f>F60*'Ilustrative Comparison Tool'!$C$35</f>
        <v>87600</v>
      </c>
      <c r="G96" s="7">
        <f>G60*'Ilustrative Comparison Tool'!$C$35</f>
        <v>87600</v>
      </c>
      <c r="H96" s="7">
        <f>H60*'Ilustrative Comparison Tool'!$C$35</f>
        <v>87600</v>
      </c>
      <c r="I96" s="7">
        <f>I60*'Ilustrative Comparison Tool'!$C$35</f>
        <v>52560</v>
      </c>
      <c r="J96" s="7">
        <f>J60*'Ilustrative Comparison Tool'!$C$35</f>
        <v>61320.000000000007</v>
      </c>
      <c r="K96" s="7">
        <f>K60*'Ilustrative Comparison Tool'!$C$35</f>
        <v>52560</v>
      </c>
      <c r="L96" s="7">
        <f>L60*'Ilustrative Comparison Tool'!$C$35</f>
        <v>131400</v>
      </c>
      <c r="M96" s="7">
        <f>M60*'Ilustrative Comparison Tool'!$C$35</f>
        <v>131400</v>
      </c>
      <c r="N96" s="7">
        <f>N60*'Ilustrative Comparison Tool'!$C$35</f>
        <v>131400</v>
      </c>
      <c r="O96" s="7">
        <f>IF(SUM(E54:H54)=0,0,O60*'Ilustrative Comparison Tool'!$C$35)</f>
        <v>0</v>
      </c>
    </row>
    <row r="97" spans="2:16" outlineLevel="1" x14ac:dyDescent="0.25">
      <c r="B97" s="17" t="s">
        <v>44</v>
      </c>
      <c r="C97" s="18">
        <f>'Ilustrative Comparison Tool'!$C$36</f>
        <v>120</v>
      </c>
      <c r="D97" s="18">
        <f>'Ilustrative Comparison Tool'!$C$36</f>
        <v>120</v>
      </c>
      <c r="E97" s="18">
        <f>'Ilustrative Comparison Tool'!$C$36</f>
        <v>120</v>
      </c>
      <c r="F97" s="18">
        <f>'Ilustrative Comparison Tool'!$C$36</f>
        <v>120</v>
      </c>
      <c r="G97" s="18">
        <f>'Ilustrative Comparison Tool'!$C$36</f>
        <v>120</v>
      </c>
      <c r="H97" s="18">
        <f>'Ilustrative Comparison Tool'!$C$36</f>
        <v>120</v>
      </c>
      <c r="I97" s="18">
        <f>'Ilustrative Comparison Tool'!$C$36</f>
        <v>120</v>
      </c>
      <c r="J97" s="18">
        <f>'Ilustrative Comparison Tool'!$C$36</f>
        <v>120</v>
      </c>
      <c r="K97" s="18">
        <f>'Ilustrative Comparison Tool'!$C$36</f>
        <v>120</v>
      </c>
      <c r="L97" s="18">
        <f>'Ilustrative Comparison Tool'!$C$36</f>
        <v>120</v>
      </c>
      <c r="M97" s="18">
        <f>'Ilustrative Comparison Tool'!$C$36</f>
        <v>120</v>
      </c>
      <c r="N97" s="18">
        <f>'Ilustrative Comparison Tool'!$C$36</f>
        <v>120</v>
      </c>
      <c r="O97" s="18">
        <f>IF(SUM(E54:H54)=0,0,'Ilustrative Comparison Tool'!$C$36)</f>
        <v>0</v>
      </c>
    </row>
    <row r="98" spans="2:16" outlineLevel="1" x14ac:dyDescent="0.25">
      <c r="B98" s="17" t="s">
        <v>35</v>
      </c>
      <c r="C98" s="18">
        <f t="shared" ref="C98:G98" si="45">C97-C61</f>
        <v>0</v>
      </c>
      <c r="D98" s="18">
        <f t="shared" si="45"/>
        <v>0</v>
      </c>
      <c r="E98" s="18">
        <f t="shared" si="45"/>
        <v>0</v>
      </c>
      <c r="F98" s="18">
        <f t="shared" si="45"/>
        <v>0</v>
      </c>
      <c r="G98" s="18">
        <f t="shared" si="45"/>
        <v>0</v>
      </c>
      <c r="H98" s="18">
        <f t="shared" ref="H98:O98" si="46">H97-H61</f>
        <v>0</v>
      </c>
      <c r="I98" s="18">
        <f t="shared" si="46"/>
        <v>-30</v>
      </c>
      <c r="J98" s="18">
        <f t="shared" si="46"/>
        <v>-36</v>
      </c>
      <c r="K98" s="18">
        <f t="shared" si="46"/>
        <v>-24</v>
      </c>
      <c r="L98" s="18">
        <f t="shared" si="46"/>
        <v>36</v>
      </c>
      <c r="M98" s="18">
        <f t="shared" si="46"/>
        <v>36</v>
      </c>
      <c r="N98" s="18">
        <f t="shared" si="46"/>
        <v>36</v>
      </c>
      <c r="O98" s="18">
        <f t="shared" si="46"/>
        <v>0</v>
      </c>
    </row>
    <row r="99" spans="2:16" outlineLevel="1" x14ac:dyDescent="0.25">
      <c r="B99" s="17" t="s">
        <v>56</v>
      </c>
      <c r="C99" s="18">
        <f>C96*C98</f>
        <v>0</v>
      </c>
      <c r="D99" s="18">
        <f>D96*D98</f>
        <v>0</v>
      </c>
      <c r="E99" s="18">
        <f t="shared" ref="E99:G99" si="47">E96*E98</f>
        <v>0</v>
      </c>
      <c r="F99" s="18">
        <f t="shared" si="47"/>
        <v>0</v>
      </c>
      <c r="G99" s="18">
        <f t="shared" si="47"/>
        <v>0</v>
      </c>
      <c r="H99" s="18">
        <f t="shared" ref="H99:I99" si="48">H96*H98</f>
        <v>0</v>
      </c>
      <c r="I99" s="18">
        <f t="shared" si="48"/>
        <v>-1576800</v>
      </c>
      <c r="J99" s="18">
        <f>J96*J98</f>
        <v>-2207520.0000000005</v>
      </c>
      <c r="K99" s="18">
        <f t="shared" ref="K99" si="49">K96*K98</f>
        <v>-1261440</v>
      </c>
      <c r="L99" s="18">
        <f t="shared" ref="L99" si="50">L96*L98</f>
        <v>4730400</v>
      </c>
      <c r="M99" s="18">
        <f>M96*M98</f>
        <v>4730400</v>
      </c>
      <c r="N99" s="18">
        <f>N96*N98</f>
        <v>4730400</v>
      </c>
      <c r="O99" s="18">
        <f t="shared" ref="O99" si="51">O96*O98</f>
        <v>0</v>
      </c>
    </row>
    <row r="100" spans="2:16" outlineLevel="1" x14ac:dyDescent="0.25">
      <c r="B100" s="29" t="s">
        <v>45</v>
      </c>
      <c r="C100" s="30">
        <f t="shared" ref="C100:G100" si="52">C71+C99</f>
        <v>10512000</v>
      </c>
      <c r="D100" s="30">
        <f t="shared" si="52"/>
        <v>8409600</v>
      </c>
      <c r="E100" s="30">
        <f t="shared" si="52"/>
        <v>12614400</v>
      </c>
      <c r="F100" s="30">
        <f t="shared" si="52"/>
        <v>8409600</v>
      </c>
      <c r="G100" s="30">
        <f t="shared" si="52"/>
        <v>12614400</v>
      </c>
      <c r="H100" s="30">
        <f t="shared" ref="H100:O100" si="53">H71+H99</f>
        <v>3679200</v>
      </c>
      <c r="I100" s="30">
        <f t="shared" si="53"/>
        <v>6307200</v>
      </c>
      <c r="J100" s="30">
        <f t="shared" si="53"/>
        <v>5361120</v>
      </c>
      <c r="K100" s="30">
        <f t="shared" si="53"/>
        <v>8304479.9999999981</v>
      </c>
      <c r="L100" s="30">
        <f t="shared" si="53"/>
        <v>15768000</v>
      </c>
      <c r="M100" s="30">
        <f t="shared" si="53"/>
        <v>13560479.999999998</v>
      </c>
      <c r="N100" s="30">
        <f t="shared" si="53"/>
        <v>17344800</v>
      </c>
      <c r="O100" s="30">
        <f t="shared" si="53"/>
        <v>0</v>
      </c>
    </row>
    <row r="101" spans="2:16" outlineLevel="1" x14ac:dyDescent="0.25"/>
    <row r="102" spans="2:16" ht="18" thickBot="1" x14ac:dyDescent="0.3">
      <c r="B102" s="27" t="s">
        <v>46</v>
      </c>
      <c r="C102" s="26"/>
      <c r="D102" s="26"/>
      <c r="E102" s="26"/>
      <c r="F102" s="26"/>
      <c r="G102" s="26"/>
      <c r="H102" s="26"/>
      <c r="I102" s="26"/>
      <c r="J102" s="31"/>
      <c r="K102" s="31"/>
      <c r="L102" s="31"/>
      <c r="M102" s="31"/>
      <c r="N102" s="31"/>
      <c r="O102" s="31"/>
      <c r="P102" s="31"/>
    </row>
    <row r="103" spans="2:16" ht="15.75" outlineLevel="1" thickTop="1" x14ac:dyDescent="0.25"/>
    <row r="104" spans="2:16" ht="51.6" customHeight="1" outlineLevel="1" x14ac:dyDescent="0.25">
      <c r="B104" s="52" t="s">
        <v>119</v>
      </c>
      <c r="C104" s="47" t="str">
        <f>C67</f>
        <v>Base Case</v>
      </c>
      <c r="D104" s="47" t="str">
        <f t="shared" ref="D104:G104" si="54">D67</f>
        <v xml:space="preserve">Scenario 1: Project DWAP &lt; Reference DWAP </v>
      </c>
      <c r="E104" s="47" t="str">
        <f t="shared" si="54"/>
        <v>Scenario 2: Project DWAP &gt; Reference DWAP</v>
      </c>
      <c r="F104" s="47" t="str">
        <f t="shared" si="54"/>
        <v>Scenario 3: Project Volume &lt; Reference Volume</v>
      </c>
      <c r="G104" s="47" t="str">
        <f t="shared" si="54"/>
        <v>Scenario 4: Project Volume &gt;  Reference Volume</v>
      </c>
      <c r="H104" s="47" t="str">
        <f t="shared" ref="H104:O104" si="55">H67</f>
        <v>Scenario 5: FM Event</v>
      </c>
      <c r="I104" s="47" t="str">
        <f t="shared" si="55"/>
        <v>Senario 6: VRE Drought</v>
      </c>
      <c r="J104" s="47" t="str">
        <f t="shared" si="55"/>
        <v>Scenario 7: VRE drought, project underperforms</v>
      </c>
      <c r="K104" s="47" t="str">
        <f t="shared" si="55"/>
        <v>Scenario 8: VRE drought, project overperforms</v>
      </c>
      <c r="L104" s="47" t="str">
        <f t="shared" si="55"/>
        <v>Scenario 9: VRE oversupply</v>
      </c>
      <c r="M104" s="47" t="str">
        <f t="shared" si="55"/>
        <v>Scenario 10: VRE oversupply, project underperforms</v>
      </c>
      <c r="N104" s="47" t="str">
        <f t="shared" si="55"/>
        <v>Scenario 11: VRE oversupply, project overperforms</v>
      </c>
      <c r="O104" s="47" t="str">
        <f t="shared" si="55"/>
        <v>Scenario 12: Blank</v>
      </c>
    </row>
    <row r="105" spans="2:16" outlineLevel="1" x14ac:dyDescent="0.25">
      <c r="C105" s="29"/>
      <c r="D105" s="29"/>
      <c r="E105" s="29"/>
      <c r="F105" s="29"/>
      <c r="G105" s="29"/>
      <c r="H105" s="29"/>
      <c r="I105" s="29"/>
      <c r="J105" s="29"/>
      <c r="K105" s="29"/>
      <c r="L105" s="29"/>
      <c r="M105" s="29"/>
      <c r="N105" s="29"/>
      <c r="O105" s="29"/>
    </row>
    <row r="106" spans="2:16" outlineLevel="1" x14ac:dyDescent="0.25">
      <c r="B106" s="25" t="s">
        <v>94</v>
      </c>
      <c r="C106" s="22"/>
      <c r="D106" s="20"/>
      <c r="E106" s="20"/>
      <c r="F106" s="20"/>
      <c r="G106" s="20"/>
      <c r="H106" s="20"/>
      <c r="I106" s="20"/>
      <c r="J106" s="20"/>
      <c r="K106" s="20"/>
      <c r="L106" s="20"/>
      <c r="M106" s="20"/>
      <c r="N106" s="20"/>
      <c r="O106" s="20"/>
    </row>
    <row r="107" spans="2:16" outlineLevel="1" x14ac:dyDescent="0.25">
      <c r="B107" s="17" t="s">
        <v>47</v>
      </c>
      <c r="C107" s="7">
        <f t="shared" ref="C107:N107" si="56">$C$69</f>
        <v>87600</v>
      </c>
      <c r="D107" s="7">
        <f t="shared" si="56"/>
        <v>87600</v>
      </c>
      <c r="E107" s="7">
        <f t="shared" si="56"/>
        <v>87600</v>
      </c>
      <c r="F107" s="7">
        <f t="shared" si="56"/>
        <v>87600</v>
      </c>
      <c r="G107" s="7">
        <f t="shared" si="56"/>
        <v>87600</v>
      </c>
      <c r="H107" s="7">
        <f t="shared" si="56"/>
        <v>87600</v>
      </c>
      <c r="I107" s="7">
        <f t="shared" si="56"/>
        <v>87600</v>
      </c>
      <c r="J107" s="7">
        <f t="shared" si="56"/>
        <v>87600</v>
      </c>
      <c r="K107" s="7">
        <f t="shared" si="56"/>
        <v>87600</v>
      </c>
      <c r="L107" s="7">
        <f t="shared" si="56"/>
        <v>87600</v>
      </c>
      <c r="M107" s="7">
        <f t="shared" si="56"/>
        <v>87600</v>
      </c>
      <c r="N107" s="7">
        <f t="shared" si="56"/>
        <v>87600</v>
      </c>
      <c r="O107" s="32">
        <f>IF(SUM(E54:H54)=0,0,$C$69)</f>
        <v>0</v>
      </c>
    </row>
    <row r="108" spans="2:16" outlineLevel="1" x14ac:dyDescent="0.25">
      <c r="B108" s="17" t="s">
        <v>48</v>
      </c>
      <c r="C108" s="18">
        <f t="shared" ref="C108:G108" si="57">C61</f>
        <v>120</v>
      </c>
      <c r="D108" s="18">
        <f t="shared" si="57"/>
        <v>120</v>
      </c>
      <c r="E108" s="18">
        <f t="shared" si="57"/>
        <v>120</v>
      </c>
      <c r="F108" s="18">
        <f t="shared" si="57"/>
        <v>120</v>
      </c>
      <c r="G108" s="18">
        <f t="shared" si="57"/>
        <v>120</v>
      </c>
      <c r="H108" s="18">
        <f t="shared" ref="H108:O108" si="58">H61</f>
        <v>120</v>
      </c>
      <c r="I108" s="18">
        <f t="shared" si="58"/>
        <v>150</v>
      </c>
      <c r="J108" s="18">
        <f t="shared" si="58"/>
        <v>156</v>
      </c>
      <c r="K108" s="18">
        <f t="shared" si="58"/>
        <v>144</v>
      </c>
      <c r="L108" s="18">
        <f t="shared" si="58"/>
        <v>84</v>
      </c>
      <c r="M108" s="18">
        <f t="shared" si="58"/>
        <v>84</v>
      </c>
      <c r="N108" s="18">
        <f t="shared" si="58"/>
        <v>84</v>
      </c>
      <c r="O108" s="33">
        <f t="shared" si="58"/>
        <v>0</v>
      </c>
    </row>
    <row r="109" spans="2:16" outlineLevel="1" x14ac:dyDescent="0.25">
      <c r="B109" s="17" t="s">
        <v>49</v>
      </c>
      <c r="C109" s="18">
        <f>C107*C108*-1</f>
        <v>-10512000</v>
      </c>
      <c r="D109" s="18">
        <f t="shared" ref="D109:G109" si="59">D107*D108*-1</f>
        <v>-10512000</v>
      </c>
      <c r="E109" s="18">
        <f t="shared" si="59"/>
        <v>-10512000</v>
      </c>
      <c r="F109" s="18">
        <f t="shared" si="59"/>
        <v>-10512000</v>
      </c>
      <c r="G109" s="18">
        <f t="shared" si="59"/>
        <v>-10512000</v>
      </c>
      <c r="H109" s="18">
        <f t="shared" ref="H109:I109" si="60">H107*H108*-1</f>
        <v>-10512000</v>
      </c>
      <c r="I109" s="18">
        <f t="shared" si="60"/>
        <v>-13140000</v>
      </c>
      <c r="J109" s="18">
        <f>J107*J108*-1</f>
        <v>-13665600</v>
      </c>
      <c r="K109" s="18">
        <f>K107*K108*-1</f>
        <v>-12614400</v>
      </c>
      <c r="L109" s="18">
        <f>L107*L108*-1</f>
        <v>-7358400</v>
      </c>
      <c r="M109" s="18">
        <f>M107*M108*-1</f>
        <v>-7358400</v>
      </c>
      <c r="N109" s="18">
        <f>N107*N108*-1</f>
        <v>-7358400</v>
      </c>
      <c r="O109" s="33">
        <f t="shared" ref="O109" si="61">O107*O108*-1</f>
        <v>0</v>
      </c>
    </row>
    <row r="110" spans="2:16" outlineLevel="1" x14ac:dyDescent="0.25">
      <c r="B110" s="17" t="s">
        <v>50</v>
      </c>
      <c r="C110" s="18">
        <v>0</v>
      </c>
      <c r="D110" s="18"/>
      <c r="E110" s="18"/>
      <c r="F110" s="18"/>
      <c r="G110" s="18"/>
      <c r="H110" s="18"/>
      <c r="I110" s="18"/>
      <c r="J110" s="18"/>
      <c r="K110" s="18"/>
      <c r="L110" s="18"/>
      <c r="M110" s="18"/>
      <c r="N110" s="18"/>
      <c r="O110" s="33"/>
    </row>
    <row r="111" spans="2:16" outlineLevel="1" x14ac:dyDescent="0.25">
      <c r="B111" s="17" t="s">
        <v>51</v>
      </c>
      <c r="C111" s="30">
        <f>C109+C110</f>
        <v>-10512000</v>
      </c>
      <c r="D111" s="30">
        <f>(D109+D110)</f>
        <v>-10512000</v>
      </c>
      <c r="E111" s="30">
        <f t="shared" ref="E111:G111" si="62">(E109+E110)</f>
        <v>-10512000</v>
      </c>
      <c r="F111" s="30">
        <f t="shared" si="62"/>
        <v>-10512000</v>
      </c>
      <c r="G111" s="30">
        <f t="shared" si="62"/>
        <v>-10512000</v>
      </c>
      <c r="H111" s="30">
        <f t="shared" ref="H111:O111" si="63">(H109+H110)</f>
        <v>-10512000</v>
      </c>
      <c r="I111" s="30">
        <f t="shared" si="63"/>
        <v>-13140000</v>
      </c>
      <c r="J111" s="30">
        <f t="shared" si="63"/>
        <v>-13665600</v>
      </c>
      <c r="K111" s="30">
        <f t="shared" si="63"/>
        <v>-12614400</v>
      </c>
      <c r="L111" s="30">
        <f t="shared" si="63"/>
        <v>-7358400</v>
      </c>
      <c r="M111" s="30">
        <f t="shared" si="63"/>
        <v>-7358400</v>
      </c>
      <c r="N111" s="30">
        <f t="shared" si="63"/>
        <v>-7358400</v>
      </c>
      <c r="O111" s="30">
        <f t="shared" si="63"/>
        <v>0</v>
      </c>
    </row>
    <row r="112" spans="2:16" outlineLevel="1" x14ac:dyDescent="0.25"/>
    <row r="113" spans="2:15" outlineLevel="1" x14ac:dyDescent="0.25">
      <c r="B113" s="34" t="s">
        <v>78</v>
      </c>
    </row>
    <row r="114" spans="2:15" outlineLevel="1" x14ac:dyDescent="0.25">
      <c r="B114" s="17" t="s">
        <v>89</v>
      </c>
      <c r="C114" s="32">
        <f>C75</f>
        <v>87600</v>
      </c>
      <c r="D114" s="32">
        <f t="shared" ref="D114:G114" si="64">D75</f>
        <v>87600</v>
      </c>
      <c r="E114" s="32">
        <f t="shared" si="64"/>
        <v>87600</v>
      </c>
      <c r="F114" s="32">
        <f t="shared" si="64"/>
        <v>70080</v>
      </c>
      <c r="G114" s="32">
        <f t="shared" si="64"/>
        <v>105120</v>
      </c>
      <c r="H114" s="32">
        <f t="shared" ref="H114:O116" si="65">H75</f>
        <v>43800</v>
      </c>
      <c r="I114" s="32">
        <f t="shared" si="65"/>
        <v>52560</v>
      </c>
      <c r="J114" s="32">
        <f t="shared" si="65"/>
        <v>52560</v>
      </c>
      <c r="K114" s="32">
        <f t="shared" si="65"/>
        <v>61319.999999999993</v>
      </c>
      <c r="L114" s="32">
        <f t="shared" si="65"/>
        <v>131400</v>
      </c>
      <c r="M114" s="32">
        <f t="shared" si="65"/>
        <v>122639.99999999999</v>
      </c>
      <c r="N114" s="32">
        <f t="shared" si="65"/>
        <v>140160</v>
      </c>
      <c r="O114" s="32">
        <f t="shared" si="65"/>
        <v>0</v>
      </c>
    </row>
    <row r="115" spans="2:15" outlineLevel="1" x14ac:dyDescent="0.25">
      <c r="B115" s="17" t="s">
        <v>83</v>
      </c>
      <c r="C115" s="33">
        <f>C76</f>
        <v>120</v>
      </c>
      <c r="D115" s="33">
        <f t="shared" ref="D115:G115" si="66">D76</f>
        <v>120</v>
      </c>
      <c r="E115" s="33">
        <f t="shared" si="66"/>
        <v>120</v>
      </c>
      <c r="F115" s="33">
        <f t="shared" si="66"/>
        <v>120</v>
      </c>
      <c r="G115" s="33">
        <f t="shared" si="66"/>
        <v>120</v>
      </c>
      <c r="H115" s="33">
        <f t="shared" si="65"/>
        <v>120</v>
      </c>
      <c r="I115" s="33">
        <f t="shared" si="65"/>
        <v>120</v>
      </c>
      <c r="J115" s="33">
        <f t="shared" si="65"/>
        <v>120</v>
      </c>
      <c r="K115" s="33">
        <f t="shared" si="65"/>
        <v>120</v>
      </c>
      <c r="L115" s="33">
        <f t="shared" si="65"/>
        <v>120</v>
      </c>
      <c r="M115" s="33">
        <f t="shared" si="65"/>
        <v>120</v>
      </c>
      <c r="N115" s="33">
        <f t="shared" si="65"/>
        <v>120</v>
      </c>
      <c r="O115" s="33">
        <f t="shared" si="65"/>
        <v>0</v>
      </c>
    </row>
    <row r="116" spans="2:15" outlineLevel="1" x14ac:dyDescent="0.25">
      <c r="B116" s="17" t="s">
        <v>88</v>
      </c>
      <c r="C116" s="33">
        <f>C77</f>
        <v>0</v>
      </c>
      <c r="D116" s="33">
        <f t="shared" ref="D116:G116" si="67">D77</f>
        <v>24</v>
      </c>
      <c r="E116" s="33">
        <f t="shared" si="67"/>
        <v>-24</v>
      </c>
      <c r="F116" s="33">
        <f t="shared" si="67"/>
        <v>0</v>
      </c>
      <c r="G116" s="33">
        <f t="shared" si="67"/>
        <v>0</v>
      </c>
      <c r="H116" s="33">
        <f t="shared" si="65"/>
        <v>36</v>
      </c>
      <c r="I116" s="33">
        <f t="shared" si="65"/>
        <v>-30</v>
      </c>
      <c r="J116" s="33">
        <f t="shared" si="65"/>
        <v>-24</v>
      </c>
      <c r="K116" s="33">
        <f t="shared" si="65"/>
        <v>-36</v>
      </c>
      <c r="L116" s="33">
        <f t="shared" si="65"/>
        <v>36</v>
      </c>
      <c r="M116" s="33">
        <f t="shared" si="65"/>
        <v>48</v>
      </c>
      <c r="N116" s="33">
        <f t="shared" si="65"/>
        <v>30</v>
      </c>
      <c r="O116" s="33">
        <f t="shared" si="65"/>
        <v>0</v>
      </c>
    </row>
    <row r="117" spans="2:15" outlineLevel="1" x14ac:dyDescent="0.25">
      <c r="B117" s="17" t="s">
        <v>49</v>
      </c>
      <c r="C117" s="33">
        <f>C109</f>
        <v>-10512000</v>
      </c>
      <c r="D117" s="33">
        <f t="shared" ref="D117:G117" si="68">D109</f>
        <v>-10512000</v>
      </c>
      <c r="E117" s="33">
        <f t="shared" si="68"/>
        <v>-10512000</v>
      </c>
      <c r="F117" s="33">
        <f t="shared" si="68"/>
        <v>-10512000</v>
      </c>
      <c r="G117" s="33">
        <f t="shared" si="68"/>
        <v>-10512000</v>
      </c>
      <c r="H117" s="33">
        <f t="shared" ref="H117:O117" si="69">H109</f>
        <v>-10512000</v>
      </c>
      <c r="I117" s="33">
        <f t="shared" si="69"/>
        <v>-13140000</v>
      </c>
      <c r="J117" s="33">
        <f t="shared" si="69"/>
        <v>-13665600</v>
      </c>
      <c r="K117" s="33">
        <f t="shared" si="69"/>
        <v>-12614400</v>
      </c>
      <c r="L117" s="33">
        <f t="shared" si="69"/>
        <v>-7358400</v>
      </c>
      <c r="M117" s="33">
        <f t="shared" si="69"/>
        <v>-7358400</v>
      </c>
      <c r="N117" s="33">
        <f t="shared" si="69"/>
        <v>-7358400</v>
      </c>
      <c r="O117" s="33">
        <f t="shared" si="69"/>
        <v>0</v>
      </c>
    </row>
    <row r="118" spans="2:15" outlineLevel="1" x14ac:dyDescent="0.25">
      <c r="B118" s="17" t="s">
        <v>86</v>
      </c>
      <c r="C118" s="33">
        <f t="shared" ref="C118:G118" si="70">-C78</f>
        <v>0</v>
      </c>
      <c r="D118" s="33">
        <f t="shared" si="70"/>
        <v>-2102400</v>
      </c>
      <c r="E118" s="33">
        <f t="shared" si="70"/>
        <v>2102400</v>
      </c>
      <c r="F118" s="33">
        <f t="shared" si="70"/>
        <v>0</v>
      </c>
      <c r="G118" s="33">
        <f t="shared" si="70"/>
        <v>0</v>
      </c>
      <c r="H118" s="33">
        <f t="shared" ref="H118:O118" si="71">-H78</f>
        <v>-1576800</v>
      </c>
      <c r="I118" s="33">
        <f t="shared" si="71"/>
        <v>1576800</v>
      </c>
      <c r="J118" s="33">
        <f t="shared" si="71"/>
        <v>1261440</v>
      </c>
      <c r="K118" s="33">
        <f t="shared" si="71"/>
        <v>2207519.9999999995</v>
      </c>
      <c r="L118" s="33">
        <f t="shared" si="71"/>
        <v>-4730400</v>
      </c>
      <c r="M118" s="33">
        <f t="shared" si="71"/>
        <v>-5886719.9999999991</v>
      </c>
      <c r="N118" s="33">
        <f t="shared" si="71"/>
        <v>-4204800</v>
      </c>
      <c r="O118" s="33">
        <f t="shared" si="71"/>
        <v>0</v>
      </c>
    </row>
    <row r="119" spans="2:15" outlineLevel="1" x14ac:dyDescent="0.25">
      <c r="B119" s="29" t="s">
        <v>87</v>
      </c>
      <c r="C119" s="24">
        <f>C117+C118</f>
        <v>-10512000</v>
      </c>
      <c r="D119" s="24">
        <f t="shared" ref="D119:G119" si="72">D117+D118</f>
        <v>-12614400</v>
      </c>
      <c r="E119" s="24">
        <f t="shared" si="72"/>
        <v>-8409600</v>
      </c>
      <c r="F119" s="24">
        <f t="shared" si="72"/>
        <v>-10512000</v>
      </c>
      <c r="G119" s="24">
        <f t="shared" si="72"/>
        <v>-10512000</v>
      </c>
      <c r="H119" s="24">
        <f t="shared" ref="H119:O119" si="73">H117+H118</f>
        <v>-12088800</v>
      </c>
      <c r="I119" s="24">
        <f t="shared" si="73"/>
        <v>-11563200</v>
      </c>
      <c r="J119" s="24">
        <f t="shared" si="73"/>
        <v>-12404160</v>
      </c>
      <c r="K119" s="24">
        <f t="shared" si="73"/>
        <v>-10406880</v>
      </c>
      <c r="L119" s="24">
        <f t="shared" si="73"/>
        <v>-12088800</v>
      </c>
      <c r="M119" s="24">
        <f t="shared" si="73"/>
        <v>-13245120</v>
      </c>
      <c r="N119" s="24">
        <f t="shared" si="73"/>
        <v>-11563200</v>
      </c>
      <c r="O119" s="24">
        <f t="shared" si="73"/>
        <v>0</v>
      </c>
    </row>
    <row r="120" spans="2:15" outlineLevel="1" x14ac:dyDescent="0.25"/>
    <row r="121" spans="2:15" outlineLevel="1" x14ac:dyDescent="0.25">
      <c r="B121" s="34" t="s">
        <v>22</v>
      </c>
      <c r="C121" s="19"/>
      <c r="D121" s="19"/>
      <c r="E121" s="19"/>
      <c r="F121" s="19"/>
      <c r="G121" s="19"/>
      <c r="H121" s="19"/>
      <c r="I121" s="19"/>
      <c r="J121" s="19"/>
      <c r="K121" s="19"/>
      <c r="L121" s="19"/>
      <c r="M121" s="19"/>
      <c r="N121" s="19"/>
      <c r="O121" s="19"/>
    </row>
    <row r="122" spans="2:15" outlineLevel="1" x14ac:dyDescent="0.25">
      <c r="B122" s="17" t="s">
        <v>47</v>
      </c>
      <c r="C122" s="7">
        <f>'Ilustrative Comparison Tool'!$C$26</f>
        <v>87600</v>
      </c>
      <c r="D122" s="7">
        <f>'Ilustrative Comparison Tool'!$C$26</f>
        <v>87600</v>
      </c>
      <c r="E122" s="7">
        <f>'Ilustrative Comparison Tool'!$C$26</f>
        <v>87600</v>
      </c>
      <c r="F122" s="7">
        <f>'Ilustrative Comparison Tool'!$C$26</f>
        <v>87600</v>
      </c>
      <c r="G122" s="7">
        <f>'Ilustrative Comparison Tool'!$C$26</f>
        <v>87600</v>
      </c>
      <c r="H122" s="7">
        <f>'Ilustrative Comparison Tool'!$C$26</f>
        <v>87600</v>
      </c>
      <c r="I122" s="7">
        <f>'Ilustrative Comparison Tool'!$C$26</f>
        <v>87600</v>
      </c>
      <c r="J122" s="7">
        <f>'Ilustrative Comparison Tool'!$C$26</f>
        <v>87600</v>
      </c>
      <c r="K122" s="7">
        <f>'Ilustrative Comparison Tool'!$C$26</f>
        <v>87600</v>
      </c>
      <c r="L122" s="7">
        <f>'Ilustrative Comparison Tool'!$C$26</f>
        <v>87600</v>
      </c>
      <c r="M122" s="7">
        <f>'Ilustrative Comparison Tool'!$C$26</f>
        <v>87600</v>
      </c>
      <c r="N122" s="7">
        <f>'Ilustrative Comparison Tool'!$C$26</f>
        <v>87600</v>
      </c>
      <c r="O122" s="32">
        <f>IF(SUM(E54:H54)=0,0,'Ilustrative Comparison Tool'!$C$26)</f>
        <v>0</v>
      </c>
    </row>
    <row r="123" spans="2:15" outlineLevel="1" x14ac:dyDescent="0.25">
      <c r="B123" s="17" t="s">
        <v>48</v>
      </c>
      <c r="C123" s="18">
        <f>C108</f>
        <v>120</v>
      </c>
      <c r="D123" s="18">
        <f t="shared" ref="D123:G123" si="74">D108</f>
        <v>120</v>
      </c>
      <c r="E123" s="18">
        <f t="shared" si="74"/>
        <v>120</v>
      </c>
      <c r="F123" s="18">
        <f t="shared" si="74"/>
        <v>120</v>
      </c>
      <c r="G123" s="18">
        <f t="shared" si="74"/>
        <v>120</v>
      </c>
      <c r="H123" s="18">
        <f t="shared" ref="H123:I123" si="75">H108</f>
        <v>120</v>
      </c>
      <c r="I123" s="18">
        <f t="shared" si="75"/>
        <v>150</v>
      </c>
      <c r="J123" s="18">
        <f>J108</f>
        <v>156</v>
      </c>
      <c r="K123" s="18">
        <f>K108</f>
        <v>144</v>
      </c>
      <c r="L123" s="18">
        <f>L108</f>
        <v>84</v>
      </c>
      <c r="M123" s="18">
        <f>M108</f>
        <v>84</v>
      </c>
      <c r="N123" s="18">
        <f>N108</f>
        <v>84</v>
      </c>
      <c r="O123" s="33">
        <f t="shared" ref="O123" si="76">O108</f>
        <v>0</v>
      </c>
    </row>
    <row r="124" spans="2:15" outlineLevel="1" x14ac:dyDescent="0.25">
      <c r="B124" s="17" t="s">
        <v>49</v>
      </c>
      <c r="C124" s="18">
        <f>C122*C123*-1</f>
        <v>-10512000</v>
      </c>
      <c r="D124" s="18">
        <f t="shared" ref="D124" si="77">D122*D123*-1</f>
        <v>-10512000</v>
      </c>
      <c r="E124" s="18">
        <f t="shared" ref="E124" si="78">E122*E123*-1</f>
        <v>-10512000</v>
      </c>
      <c r="F124" s="18">
        <f t="shared" ref="F124" si="79">F122*F123*-1</f>
        <v>-10512000</v>
      </c>
      <c r="G124" s="18">
        <f t="shared" ref="G124" si="80">G122*G123*-1</f>
        <v>-10512000</v>
      </c>
      <c r="H124" s="18">
        <f>H122*H123*-1</f>
        <v>-10512000</v>
      </c>
      <c r="I124" s="18">
        <f t="shared" ref="I124" si="81">I122*I123*-1</f>
        <v>-13140000</v>
      </c>
      <c r="J124" s="18">
        <f t="shared" ref="J124" si="82">J122*J123*-1</f>
        <v>-13665600</v>
      </c>
      <c r="K124" s="18">
        <f t="shared" ref="K124" si="83">K122*K123*-1</f>
        <v>-12614400</v>
      </c>
      <c r="L124" s="18">
        <f t="shared" ref="L124" si="84">L122*L123*-1</f>
        <v>-7358400</v>
      </c>
      <c r="M124" s="18">
        <f t="shared" ref="M124" si="85">M122*M123*-1</f>
        <v>-7358400</v>
      </c>
      <c r="N124" s="18">
        <f t="shared" ref="N124:O124" si="86">N122*N123*-1</f>
        <v>-7358400</v>
      </c>
      <c r="O124" s="33">
        <f t="shared" si="86"/>
        <v>0</v>
      </c>
    </row>
    <row r="125" spans="2:15" outlineLevel="1" x14ac:dyDescent="0.25">
      <c r="B125" s="17" t="s">
        <v>50</v>
      </c>
      <c r="C125" s="18">
        <f t="shared" ref="C125:G125" si="87">-1*C85</f>
        <v>0</v>
      </c>
      <c r="D125" s="18">
        <f t="shared" si="87"/>
        <v>0</v>
      </c>
      <c r="E125" s="18">
        <f t="shared" si="87"/>
        <v>0</v>
      </c>
      <c r="F125" s="18">
        <f t="shared" si="87"/>
        <v>0</v>
      </c>
      <c r="G125" s="18">
        <f t="shared" si="87"/>
        <v>0</v>
      </c>
      <c r="H125" s="18">
        <f t="shared" ref="H125:O125" si="88">-1*H85</f>
        <v>0</v>
      </c>
      <c r="I125" s="18">
        <f t="shared" si="88"/>
        <v>2628000</v>
      </c>
      <c r="J125" s="18">
        <f t="shared" si="88"/>
        <v>3153600</v>
      </c>
      <c r="K125" s="18">
        <f t="shared" si="88"/>
        <v>2102400</v>
      </c>
      <c r="L125" s="18">
        <f t="shared" si="88"/>
        <v>-3153600</v>
      </c>
      <c r="M125" s="18">
        <f t="shared" si="88"/>
        <v>-3153600</v>
      </c>
      <c r="N125" s="18">
        <f t="shared" si="88"/>
        <v>-3153600</v>
      </c>
      <c r="O125" s="33">
        <f t="shared" si="88"/>
        <v>0</v>
      </c>
    </row>
    <row r="126" spans="2:15" outlineLevel="1" x14ac:dyDescent="0.25">
      <c r="B126" s="17" t="s">
        <v>52</v>
      </c>
      <c r="C126" s="30">
        <f>C125+C124</f>
        <v>-10512000</v>
      </c>
      <c r="D126" s="30">
        <f>(D124+D125)</f>
        <v>-10512000</v>
      </c>
      <c r="E126" s="30">
        <f t="shared" ref="E126:G126" si="89">(E124+E125)</f>
        <v>-10512000</v>
      </c>
      <c r="F126" s="30">
        <f t="shared" si="89"/>
        <v>-10512000</v>
      </c>
      <c r="G126" s="30">
        <f t="shared" si="89"/>
        <v>-10512000</v>
      </c>
      <c r="H126" s="30">
        <f t="shared" ref="H126:O126" si="90">(H124+H125)</f>
        <v>-10512000</v>
      </c>
      <c r="I126" s="30">
        <f t="shared" si="90"/>
        <v>-10512000</v>
      </c>
      <c r="J126" s="30">
        <f t="shared" si="90"/>
        <v>-10512000</v>
      </c>
      <c r="K126" s="30">
        <f t="shared" si="90"/>
        <v>-10512000</v>
      </c>
      <c r="L126" s="30">
        <f t="shared" si="90"/>
        <v>-10512000</v>
      </c>
      <c r="M126" s="30">
        <f t="shared" si="90"/>
        <v>-10512000</v>
      </c>
      <c r="N126" s="30">
        <f t="shared" si="90"/>
        <v>-10512000</v>
      </c>
      <c r="O126" s="30">
        <f t="shared" si="90"/>
        <v>0</v>
      </c>
    </row>
    <row r="127" spans="2:15" outlineLevel="1" x14ac:dyDescent="0.25"/>
    <row r="128" spans="2:15" outlineLevel="1" x14ac:dyDescent="0.25">
      <c r="B128" s="25" t="s">
        <v>25</v>
      </c>
    </row>
    <row r="129" spans="2:15" outlineLevel="1" x14ac:dyDescent="0.25">
      <c r="B129" s="17" t="s">
        <v>47</v>
      </c>
      <c r="C129" s="7">
        <f>C122</f>
        <v>87600</v>
      </c>
      <c r="D129" s="7">
        <f t="shared" ref="D129:G129" si="91">D122</f>
        <v>87600</v>
      </c>
      <c r="E129" s="7">
        <f t="shared" si="91"/>
        <v>87600</v>
      </c>
      <c r="F129" s="7">
        <f t="shared" si="91"/>
        <v>87600</v>
      </c>
      <c r="G129" s="7">
        <f t="shared" si="91"/>
        <v>87600</v>
      </c>
      <c r="H129" s="7">
        <f>'Ilustrative Comparison Tool'!$C$26</f>
        <v>87600</v>
      </c>
      <c r="I129" s="7">
        <f>'Ilustrative Comparison Tool'!$C$26</f>
        <v>87600</v>
      </c>
      <c r="J129" s="7">
        <f t="shared" ref="J129:N130" si="92">J122</f>
        <v>87600</v>
      </c>
      <c r="K129" s="7">
        <f t="shared" si="92"/>
        <v>87600</v>
      </c>
      <c r="L129" s="7">
        <f t="shared" si="92"/>
        <v>87600</v>
      </c>
      <c r="M129" s="7">
        <f t="shared" si="92"/>
        <v>87600</v>
      </c>
      <c r="N129" s="7">
        <f t="shared" si="92"/>
        <v>87600</v>
      </c>
      <c r="O129" s="32">
        <f t="shared" ref="O129" si="93">O122</f>
        <v>0</v>
      </c>
    </row>
    <row r="130" spans="2:15" outlineLevel="1" x14ac:dyDescent="0.25">
      <c r="B130" s="17" t="s">
        <v>48</v>
      </c>
      <c r="C130" s="18">
        <f>C123</f>
        <v>120</v>
      </c>
      <c r="D130" s="18">
        <f t="shared" ref="D130:G130" si="94">D123</f>
        <v>120</v>
      </c>
      <c r="E130" s="18">
        <f t="shared" si="94"/>
        <v>120</v>
      </c>
      <c r="F130" s="18">
        <f t="shared" si="94"/>
        <v>120</v>
      </c>
      <c r="G130" s="18">
        <f t="shared" si="94"/>
        <v>120</v>
      </c>
      <c r="H130" s="18">
        <f t="shared" ref="H130:I130" si="95">H115</f>
        <v>120</v>
      </c>
      <c r="I130" s="18">
        <f t="shared" si="95"/>
        <v>120</v>
      </c>
      <c r="J130" s="18">
        <f t="shared" si="92"/>
        <v>156</v>
      </c>
      <c r="K130" s="18">
        <f t="shared" si="92"/>
        <v>144</v>
      </c>
      <c r="L130" s="18">
        <f t="shared" si="92"/>
        <v>84</v>
      </c>
      <c r="M130" s="18">
        <f t="shared" si="92"/>
        <v>84</v>
      </c>
      <c r="N130" s="18">
        <f t="shared" si="92"/>
        <v>84</v>
      </c>
      <c r="O130" s="33">
        <f t="shared" ref="O130" si="96">O123</f>
        <v>0</v>
      </c>
    </row>
    <row r="131" spans="2:15" outlineLevel="1" x14ac:dyDescent="0.25">
      <c r="B131" s="17" t="s">
        <v>49</v>
      </c>
      <c r="C131" s="18">
        <f>C129*C130*-1</f>
        <v>-10512000</v>
      </c>
      <c r="D131" s="18">
        <f t="shared" ref="D131" si="97">D129*D130*-1</f>
        <v>-10512000</v>
      </c>
      <c r="E131" s="18">
        <f t="shared" ref="E131" si="98">E129*E130*-1</f>
        <v>-10512000</v>
      </c>
      <c r="F131" s="18">
        <f t="shared" ref="F131" si="99">F129*F130*-1</f>
        <v>-10512000</v>
      </c>
      <c r="G131" s="18">
        <f t="shared" ref="G131" si="100">G129*G130*-1</f>
        <v>-10512000</v>
      </c>
      <c r="H131" s="18">
        <f>H129*H130*-1</f>
        <v>-10512000</v>
      </c>
      <c r="I131" s="18">
        <f>I129*I130*-1</f>
        <v>-10512000</v>
      </c>
      <c r="J131" s="18">
        <f t="shared" ref="J131" si="101">J129*J130*-1</f>
        <v>-13665600</v>
      </c>
      <c r="K131" s="18">
        <f t="shared" ref="K131" si="102">K129*K130*-1</f>
        <v>-12614400</v>
      </c>
      <c r="L131" s="18">
        <f t="shared" ref="L131" si="103">L129*L130*-1</f>
        <v>-7358400</v>
      </c>
      <c r="M131" s="18">
        <f t="shared" ref="M131" si="104">M129*M130*-1</f>
        <v>-7358400</v>
      </c>
      <c r="N131" s="18">
        <f t="shared" ref="N131:O131" si="105">N129*N130*-1</f>
        <v>-7358400</v>
      </c>
      <c r="O131" s="33">
        <f t="shared" si="105"/>
        <v>0</v>
      </c>
    </row>
    <row r="132" spans="2:15" outlineLevel="1" x14ac:dyDescent="0.25">
      <c r="B132" s="17" t="s">
        <v>50</v>
      </c>
      <c r="C132" s="18">
        <f t="shared" ref="C132:G132" si="106">-1*C92</f>
        <v>0</v>
      </c>
      <c r="D132" s="18">
        <f t="shared" si="106"/>
        <v>0</v>
      </c>
      <c r="E132" s="18">
        <f t="shared" si="106"/>
        <v>0</v>
      </c>
      <c r="F132" s="18">
        <f t="shared" si="106"/>
        <v>0</v>
      </c>
      <c r="G132" s="18">
        <f t="shared" si="106"/>
        <v>0</v>
      </c>
      <c r="H132" s="18">
        <f t="shared" ref="H132:O132" si="107">-1*H92</f>
        <v>0</v>
      </c>
      <c r="I132" s="18">
        <f t="shared" si="107"/>
        <v>-2628000</v>
      </c>
      <c r="J132" s="18">
        <f t="shared" si="107"/>
        <v>-946080.00000000023</v>
      </c>
      <c r="K132" s="18">
        <f t="shared" si="107"/>
        <v>-2943360.0000000005</v>
      </c>
      <c r="L132" s="18">
        <f t="shared" si="107"/>
        <v>525600</v>
      </c>
      <c r="M132" s="18">
        <f t="shared" si="107"/>
        <v>525600</v>
      </c>
      <c r="N132" s="18">
        <f t="shared" si="107"/>
        <v>525600</v>
      </c>
      <c r="O132" s="33">
        <f t="shared" si="107"/>
        <v>0</v>
      </c>
    </row>
    <row r="133" spans="2:15" outlineLevel="1" x14ac:dyDescent="0.25">
      <c r="B133" s="17" t="s">
        <v>53</v>
      </c>
      <c r="C133" s="30">
        <f>C132+C131</f>
        <v>-10512000</v>
      </c>
      <c r="D133" s="30">
        <f>(D131+D132)</f>
        <v>-10512000</v>
      </c>
      <c r="E133" s="30">
        <f t="shared" ref="E133:G133" si="108">(E131+E132)</f>
        <v>-10512000</v>
      </c>
      <c r="F133" s="30">
        <f t="shared" si="108"/>
        <v>-10512000</v>
      </c>
      <c r="G133" s="30">
        <f t="shared" si="108"/>
        <v>-10512000</v>
      </c>
      <c r="H133" s="30">
        <f t="shared" ref="H133:O133" si="109">(H131+H132)</f>
        <v>-10512000</v>
      </c>
      <c r="I133" s="30">
        <f t="shared" si="109"/>
        <v>-13140000</v>
      </c>
      <c r="J133" s="30">
        <f t="shared" si="109"/>
        <v>-14611680</v>
      </c>
      <c r="K133" s="30">
        <f t="shared" si="109"/>
        <v>-15557760</v>
      </c>
      <c r="L133" s="30">
        <f t="shared" si="109"/>
        <v>-6832800</v>
      </c>
      <c r="M133" s="30">
        <f t="shared" si="109"/>
        <v>-6832800</v>
      </c>
      <c r="N133" s="30">
        <f t="shared" si="109"/>
        <v>-6832800</v>
      </c>
      <c r="O133" s="30">
        <f t="shared" si="109"/>
        <v>0</v>
      </c>
    </row>
    <row r="134" spans="2:15" outlineLevel="1" x14ac:dyDescent="0.25"/>
    <row r="135" spans="2:15" outlineLevel="1" x14ac:dyDescent="0.25">
      <c r="B135" s="25" t="s">
        <v>54</v>
      </c>
    </row>
    <row r="136" spans="2:15" outlineLevel="1" x14ac:dyDescent="0.25">
      <c r="B136" s="17" t="s">
        <v>47</v>
      </c>
      <c r="C136" s="7">
        <f>C129</f>
        <v>87600</v>
      </c>
      <c r="D136" s="7">
        <f t="shared" ref="D136:G136" si="110">D129</f>
        <v>87600</v>
      </c>
      <c r="E136" s="7">
        <f t="shared" si="110"/>
        <v>87600</v>
      </c>
      <c r="F136" s="7">
        <f t="shared" si="110"/>
        <v>87600</v>
      </c>
      <c r="G136" s="7">
        <f t="shared" si="110"/>
        <v>87600</v>
      </c>
      <c r="H136" s="7">
        <f t="shared" ref="H136:I136" si="111">H129</f>
        <v>87600</v>
      </c>
      <c r="I136" s="7">
        <f t="shared" si="111"/>
        <v>87600</v>
      </c>
      <c r="J136" s="7">
        <f t="shared" ref="J136:N137" si="112">J129</f>
        <v>87600</v>
      </c>
      <c r="K136" s="7">
        <f t="shared" si="112"/>
        <v>87600</v>
      </c>
      <c r="L136" s="7">
        <f t="shared" si="112"/>
        <v>87600</v>
      </c>
      <c r="M136" s="7">
        <f t="shared" si="112"/>
        <v>87600</v>
      </c>
      <c r="N136" s="7">
        <f t="shared" si="112"/>
        <v>87600</v>
      </c>
      <c r="O136" s="32">
        <f t="shared" ref="O136" si="113">O129</f>
        <v>0</v>
      </c>
    </row>
    <row r="137" spans="2:15" outlineLevel="1" x14ac:dyDescent="0.25">
      <c r="B137" s="17" t="s">
        <v>48</v>
      </c>
      <c r="C137" s="18">
        <f>C130</f>
        <v>120</v>
      </c>
      <c r="D137" s="18">
        <f t="shared" ref="D137:G137" si="114">D130</f>
        <v>120</v>
      </c>
      <c r="E137" s="18">
        <f t="shared" si="114"/>
        <v>120</v>
      </c>
      <c r="F137" s="18">
        <f t="shared" si="114"/>
        <v>120</v>
      </c>
      <c r="G137" s="18">
        <f t="shared" si="114"/>
        <v>120</v>
      </c>
      <c r="H137" s="18">
        <f t="shared" ref="H137:I137" si="115">H130</f>
        <v>120</v>
      </c>
      <c r="I137" s="18">
        <f t="shared" si="115"/>
        <v>120</v>
      </c>
      <c r="J137" s="18">
        <f t="shared" si="112"/>
        <v>156</v>
      </c>
      <c r="K137" s="18">
        <f t="shared" si="112"/>
        <v>144</v>
      </c>
      <c r="L137" s="18">
        <f t="shared" si="112"/>
        <v>84</v>
      </c>
      <c r="M137" s="18">
        <f t="shared" si="112"/>
        <v>84</v>
      </c>
      <c r="N137" s="18">
        <f t="shared" si="112"/>
        <v>84</v>
      </c>
      <c r="O137" s="33">
        <f t="shared" ref="O137" si="116">O130</f>
        <v>0</v>
      </c>
    </row>
    <row r="138" spans="2:15" outlineLevel="1" x14ac:dyDescent="0.25">
      <c r="B138" s="17" t="s">
        <v>49</v>
      </c>
      <c r="C138" s="18">
        <f>C136*C137*-1</f>
        <v>-10512000</v>
      </c>
      <c r="D138" s="18">
        <f t="shared" ref="D138" si="117">D136*D137*-1</f>
        <v>-10512000</v>
      </c>
      <c r="E138" s="18">
        <f t="shared" ref="E138" si="118">E136*E137*-1</f>
        <v>-10512000</v>
      </c>
      <c r="F138" s="18">
        <f t="shared" ref="F138" si="119">F136*F137*-1</f>
        <v>-10512000</v>
      </c>
      <c r="G138" s="18">
        <f t="shared" ref="G138" si="120">G136*G137*-1</f>
        <v>-10512000</v>
      </c>
      <c r="H138" s="18">
        <f>H136*H137*-1</f>
        <v>-10512000</v>
      </c>
      <c r="I138" s="18">
        <f t="shared" ref="I138" si="121">I136*I137*-1</f>
        <v>-10512000</v>
      </c>
      <c r="J138" s="18">
        <f t="shared" ref="J138" si="122">J136*J137*-1</f>
        <v>-13665600</v>
      </c>
      <c r="K138" s="18">
        <f t="shared" ref="K138" si="123">K136*K137*-1</f>
        <v>-12614400</v>
      </c>
      <c r="L138" s="18">
        <f t="shared" ref="L138" si="124">L136*L137*-1</f>
        <v>-7358400</v>
      </c>
      <c r="M138" s="18">
        <f t="shared" ref="M138" si="125">M136*M137*-1</f>
        <v>-7358400</v>
      </c>
      <c r="N138" s="18">
        <f t="shared" ref="N138:O138" si="126">N136*N137*-1</f>
        <v>-7358400</v>
      </c>
      <c r="O138" s="33">
        <f t="shared" si="126"/>
        <v>0</v>
      </c>
    </row>
    <row r="139" spans="2:15" outlineLevel="1" x14ac:dyDescent="0.25">
      <c r="B139" s="17" t="s">
        <v>50</v>
      </c>
      <c r="C139" s="18">
        <f t="shared" ref="C139:G139" si="127">-1*C99</f>
        <v>0</v>
      </c>
      <c r="D139" s="18">
        <f t="shared" si="127"/>
        <v>0</v>
      </c>
      <c r="E139" s="18">
        <f t="shared" si="127"/>
        <v>0</v>
      </c>
      <c r="F139" s="18">
        <f t="shared" si="127"/>
        <v>0</v>
      </c>
      <c r="G139" s="18">
        <f t="shared" si="127"/>
        <v>0</v>
      </c>
      <c r="H139" s="18">
        <f t="shared" ref="H139:O139" si="128">-1*H99</f>
        <v>0</v>
      </c>
      <c r="I139" s="18">
        <f t="shared" si="128"/>
        <v>1576800</v>
      </c>
      <c r="J139" s="18">
        <f t="shared" si="128"/>
        <v>2207520.0000000005</v>
      </c>
      <c r="K139" s="18">
        <f t="shared" si="128"/>
        <v>1261440</v>
      </c>
      <c r="L139" s="18">
        <f t="shared" si="128"/>
        <v>-4730400</v>
      </c>
      <c r="M139" s="18">
        <f t="shared" si="128"/>
        <v>-4730400</v>
      </c>
      <c r="N139" s="18">
        <f t="shared" si="128"/>
        <v>-4730400</v>
      </c>
      <c r="O139" s="33">
        <f t="shared" si="128"/>
        <v>0</v>
      </c>
    </row>
    <row r="140" spans="2:15" outlineLevel="1" x14ac:dyDescent="0.25">
      <c r="B140" s="17" t="s">
        <v>55</v>
      </c>
      <c r="C140" s="30">
        <f>C139+C138</f>
        <v>-10512000</v>
      </c>
      <c r="D140" s="30">
        <f>(D138+D139)</f>
        <v>-10512000</v>
      </c>
      <c r="E140" s="30">
        <f t="shared" ref="E140:G140" si="129">(E138+E139)</f>
        <v>-10512000</v>
      </c>
      <c r="F140" s="30">
        <f t="shared" si="129"/>
        <v>-10512000</v>
      </c>
      <c r="G140" s="30">
        <f t="shared" si="129"/>
        <v>-10512000</v>
      </c>
      <c r="H140" s="30">
        <f t="shared" ref="H140:O140" si="130">(H138+H139)</f>
        <v>-10512000</v>
      </c>
      <c r="I140" s="30">
        <f t="shared" si="130"/>
        <v>-8935200</v>
      </c>
      <c r="J140" s="30">
        <f t="shared" si="130"/>
        <v>-11458080</v>
      </c>
      <c r="K140" s="30">
        <f t="shared" si="130"/>
        <v>-11352960</v>
      </c>
      <c r="L140" s="30">
        <f t="shared" si="130"/>
        <v>-12088800</v>
      </c>
      <c r="M140" s="30">
        <f t="shared" si="130"/>
        <v>-12088800</v>
      </c>
      <c r="N140" s="30">
        <f t="shared" si="130"/>
        <v>-12088800</v>
      </c>
      <c r="O140" s="30">
        <f t="shared" si="130"/>
        <v>0</v>
      </c>
    </row>
  </sheetData>
  <mergeCells count="12">
    <mergeCell ref="B56:O56"/>
    <mergeCell ref="I42:L43"/>
    <mergeCell ref="B2:P2"/>
    <mergeCell ref="B4:O4"/>
    <mergeCell ref="B6:E6"/>
    <mergeCell ref="B13:E13"/>
    <mergeCell ref="B20:E20"/>
    <mergeCell ref="D7:G8"/>
    <mergeCell ref="C41:D41"/>
    <mergeCell ref="E40:F40"/>
    <mergeCell ref="G40:H40"/>
    <mergeCell ref="B38:O38"/>
  </mergeCells>
  <dataValidations count="1">
    <dataValidation type="decimal" allowBlank="1" showInputMessage="1" showErrorMessage="1" errorTitle="Input error" error="Input should be between -200 and +200%. _x000a__x000a_-50% should be entered as -50 and +50% should be entered as +50" sqref="E43:H54" xr:uid="{196B092C-FEC1-445A-B100-FD2526F7C81A}">
      <formula1>-2</formula1>
      <formula2>2</formula2>
    </dataValidation>
  </dataValidations>
  <pageMargins left="0.75" right="0.75" top="1" bottom="1" header="0.511811023622047" footer="0.511811023622047"/>
  <pageSetup paperSize="9" orientation="portrait" horizontalDpi="300" verticalDpi="300"/>
  <headerFooter>
    <oddHeader>&amp;C&amp;"Aptos"&amp;12&amp;KFF0000 OFFICIAL&amp;1#_x000D_</oddHeader>
    <oddFooter>&amp;C_x000D_&amp;1#&amp;"Aptos"&amp;12&amp;KFF0000 OFFICIAL</oddFooter>
  </headerFooter>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5d1a2284-45bc-4927-a9f9-e51f9f17c21a">
      <Terms xmlns="http://schemas.microsoft.com/office/infopath/2007/PartnerControls"/>
    </TaxKeywordTaxHTField>
    <TaxCatchAll xmlns="5d1a2284-45bc-4927-a9f9-e51f9f17c21a" xsi:nil="true"/>
    <fc36bc6de0bf403e9ed4dec84c72e21e xmlns="5d1a2284-45bc-4927-a9f9-e51f9f17c21a">
      <Terms xmlns="http://schemas.microsoft.com/office/infopath/2007/PartnerControls"/>
    </fc36bc6de0bf403e9ed4dec84c72e21e>
  </documentManagement>
</p:properties>
</file>

<file path=customXml/item2.xml><?xml version="1.0" encoding="utf-8"?>
<ct:contentTypeSchema xmlns:ct="http://schemas.microsoft.com/office/2006/metadata/contentType" xmlns:ma="http://schemas.microsoft.com/office/2006/metadata/properties/metaAttributes" ct:_="" ma:_="" ma:contentTypeName="AEMO Collaboration Document" ma:contentTypeID="0x0101002F0B48F8F4F7904196E710056827A096002897F96B4F748A48AC66BF66FB3D43FD" ma:contentTypeVersion="4" ma:contentTypeDescription="" ma:contentTypeScope="" ma:versionID="efac99ae7c540f3bb51b32e730a39f56">
  <xsd:schema xmlns:xsd="http://www.w3.org/2001/XMLSchema" xmlns:xs="http://www.w3.org/2001/XMLSchema" xmlns:p="http://schemas.microsoft.com/office/2006/metadata/properties" xmlns:ns2="5d1a2284-45bc-4927-a9f9-e51f9f17c21a" targetNamespace="http://schemas.microsoft.com/office/2006/metadata/properties" ma:root="true" ma:fieldsID="641405956d8d15b1954962214fd17b5f" ns2:_="">
    <xsd:import namespace="5d1a2284-45bc-4927-a9f9-e51f9f17c21a"/>
    <xsd:element name="properties">
      <xsd:complexType>
        <xsd:sequence>
          <xsd:element name="documentManagement">
            <xsd:complexType>
              <xsd:all>
                <xsd:element ref="ns2:TaxCatchAll" minOccurs="0"/>
                <xsd:element ref="ns2:TaxCatchAllLabel" minOccurs="0"/>
                <xsd:element ref="ns2:TaxKeywordTaxHTField" minOccurs="0"/>
                <xsd:element ref="ns2:fc36bc6de0bf403e9ed4dec84c72e21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1a2284-45bc-4927-a9f9-e51f9f17c21a"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0c1e2416-1332-4960-aad2-848ce4ef67f4}" ma:internalName="TaxCatchAll" ma:showField="CatchAllData" ma:web="8727479b-9675-4058-909c-5fc7846d3c92">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0c1e2416-1332-4960-aad2-848ce4ef67f4}" ma:internalName="TaxCatchAllLabel" ma:readOnly="true" ma:showField="CatchAllDataLabel" ma:web="8727479b-9675-4058-909c-5fc7846d3c92">
      <xsd:complexType>
        <xsd:complexContent>
          <xsd:extension base="dms:MultiChoiceLookup">
            <xsd:sequence>
              <xsd:element name="Value" type="dms:Lookup" maxOccurs="unbounded" minOccurs="0" nillable="true"/>
            </xsd:sequence>
          </xsd:extension>
        </xsd:complexContent>
      </xsd:complexType>
    </xsd:element>
    <xsd:element name="TaxKeywordTaxHTField" ma:index="1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fc36bc6de0bf403e9ed4dec84c72e21e" ma:index="12" nillable="true" ma:taxonomy="true" ma:internalName="fc36bc6de0bf403e9ed4dec84c72e21e" ma:taxonomyFieldName="AEMO_x0020_Collaboration_x0020_Document_x0020_Type" ma:displayName="AEMO Collaboration Document Type" ma:default="" ma:fieldId="{fc36bc6d-e0bf-403e-9ed4-dec84c72e21e}" ma:sspId="3e8ba7a3-af95-40f6-9ded-4ebe13adeb29" ma:termSetId="559df48e-15e2-45fa-a2d5-de60d483ab80"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3e8ba7a3-af95-40f6-9ded-4ebe13adeb29" ContentTypeId="0x0101002F0B48F8F4F7904196E710056827A096" PreviousValue="false" LastSyncTimeStamp="2022-01-31T11:36:03.467Z"/>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464F63-9861-4575-B537-51DFACABD1E0}">
  <ds:schemaRefs>
    <ds:schemaRef ds:uri="http://purl.org/dc/elements/1.1/"/>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schemas.microsoft.com/office/2006/documentManagement/types"/>
    <ds:schemaRef ds:uri="5d1a2284-45bc-4927-a9f9-e51f9f17c21a"/>
    <ds:schemaRef ds:uri="http://www.w3.org/XML/1998/namespace"/>
    <ds:schemaRef ds:uri="http://purl.org/dc/terms/"/>
  </ds:schemaRefs>
</ds:datastoreItem>
</file>

<file path=customXml/itemProps2.xml><?xml version="1.0" encoding="utf-8"?>
<ds:datastoreItem xmlns:ds="http://schemas.openxmlformats.org/officeDocument/2006/customXml" ds:itemID="{560CC755-E388-4145-9453-9156855FD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1a2284-45bc-4927-a9f9-e51f9f17c2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D1527A-89A0-49DA-96F9-B191D0A6D2A7}">
  <ds:schemaRefs>
    <ds:schemaRef ds:uri="Microsoft.SharePoint.Taxonomy.ContentTypeSync"/>
  </ds:schemaRefs>
</ds:datastoreItem>
</file>

<file path=customXml/itemProps4.xml><?xml version="1.0" encoding="utf-8"?>
<ds:datastoreItem xmlns:ds="http://schemas.openxmlformats.org/officeDocument/2006/customXml" ds:itemID="{8723F1F8-7243-4372-BA7F-05491B5597C1}">
  <ds:schemaRefs>
    <ds:schemaRef ds:uri="http://schemas.microsoft.com/sharepoint/v3/contenttype/forms"/>
  </ds:schemaRefs>
</ds:datastoreItem>
</file>

<file path=docMetadata/LabelInfo.xml><?xml version="1.0" encoding="utf-8"?>
<clbl:labelList xmlns:clbl="http://schemas.microsoft.com/office/2020/mipLabelMetadata">
  <clbl:label id="{2e6ba7ff-9897-4e65-9803-3be34fd9cf5a}" enabled="1" method="Privileged" siteId="{8c3c81bc-2b3c-44af-b3f7-6f620b3910ee}" removed="0"/>
  <clbl:label id="{99073dc8-447f-4da9-8b3a-bddcede8d04b}" enabled="1" method="Privileged" siteId="{320c999e-3876-4ad0-b401-d241068e9e6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Ilustrative Comparison Tool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Michael.Riordan@asl.org.au</dc:creator>
  <cp:keywords/>
  <dc:description/>
  <cp:lastModifiedBy>Ross Anderson</cp:lastModifiedBy>
  <cp:revision>1</cp:revision>
  <dcterms:created xsi:type="dcterms:W3CDTF">2026-07-23T21:09:24Z</dcterms:created>
  <dcterms:modified xsi:type="dcterms:W3CDTF">2026-08-20T00:16:02Z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AEMO Collaboration Document Type">
    <vt:lpwstr/>
  </property>
  <property fmtid="{D5CDD505-2E9C-101B-9397-08002B2CF9AE}" pid="4" name="ContentTypeId">
    <vt:lpwstr>0x0101002F0B48F8F4F7904196E710056827A096002897F96B4F748A48AC66BF66FB3D43FD</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AEMO_x0020_Collaboration_x0020_Document_x0020_Type">
    <vt:lpwstr/>
  </property>
  <property fmtid="{D5CDD505-2E9C-101B-9397-08002B2CF9AE}" pid="9" name="_activity">
    <vt:lpwstr>{"FileActivityType":"11","FileActivityTimeStamp":"2026-07-28T04:58:28.537Z","FileActivityUsersOnPage":[{"DisplayName":"Ross Anderson","Id":"ross.anderson@aemo.com.au"},{"DisplayName":"Michael Riordan","Id":"michael.riordan@aemo.com.au"}],"FileActivityNavigationId":null}</vt:lpwstr>
  </property>
</Properties>
</file>