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cceew2-my.sharepoint.com/personal/fergus_mckinnon_dcceew-migration_gov_au/Documents/Desktop/T1 Stage B release/"/>
    </mc:Choice>
  </mc:AlternateContent>
  <xr:revisionPtr revIDLastSave="0" documentId="8_{88655720-956E-48B7-B259-1C4A2FA9EB71}" xr6:coauthVersionLast="47" xr6:coauthVersionMax="47" xr10:uidLastSave="{00000000-0000-0000-0000-000000000000}"/>
  <bookViews>
    <workbookView xWindow="-28920" yWindow="-120" windowWidth="29040" windowHeight="15720" xr2:uid="{0C2E3C4F-AE71-4D03-919E-23B1F9F13E64}"/>
  </bookViews>
  <sheets>
    <sheet name="Disclaimer" sheetId="2" r:id="rId1"/>
    <sheet name="Instructions" sheetId="4" r:id="rId2"/>
    <sheet name="Input | Outputs" sheetId="12" r:id="rId3"/>
    <sheet name="Calculations" sheetId="13" r:id="rId4"/>
    <sheet name="Graph" sheetId="15" state="hidden" r:id="rId5"/>
    <sheet name="Table" sheetId="7" state="hidden" r:id="rId6"/>
  </sheets>
  <definedNames>
    <definedName name="_UNDO_UPS_" localSheetId="4" hidden="1">Graph!$E$17</definedName>
    <definedName name="_UNDO_UPS_" hidden="1">#REF!</definedName>
    <definedName name="_UNDO_UPS_SEL_" localSheetId="4" hidden="1">Graph!$E$17</definedName>
    <definedName name="_UNDO_UPS_SEL_" hidden="1">#REF!</definedName>
    <definedName name="_UNDO31X31X_" localSheetId="4" hidden="1">Graph!$12:$13</definedName>
    <definedName name="_UNDO31X31X_" hidden="1">#REF!</definedName>
    <definedName name="∑_QNORq1_3">Calculations!#REF!</definedName>
    <definedName name="∑CQPAFY">Calculations!$H$54</definedName>
    <definedName name="∑OQPAFY">Calculations!$H$55</definedName>
    <definedName name="AAAFY">'Input | Outputs'!$H$29</definedName>
    <definedName name="AAAFY_ARC">Calculations!$M$60</definedName>
    <definedName name="AAAFY_ARF" localSheetId="3">Calculations!$M$58</definedName>
    <definedName name="AAASY_ARC">'Input | Outputs'!$H$27</definedName>
    <definedName name="AAASY_ARF">'Input | Outputs'!$H$25</definedName>
    <definedName name="ACFY">'Input | Outputs'!$H$13</definedName>
    <definedName name="AFFY">'Input | Outputs'!$H$12</definedName>
    <definedName name="Annual_Revenue_Ceiling">'Input | Outputs'!$D$13</definedName>
    <definedName name="Annual_Revenue_Floor">'Input | Outputs'!$D$12</definedName>
    <definedName name="ANORFY">Calculations!$H$40</definedName>
    <definedName name="ARCFY">Calculations!$H$28</definedName>
    <definedName name="ARFFY">Calculations!$H$24</definedName>
    <definedName name="Back_to_Start">Instructions!$C$10</definedName>
    <definedName name="Bq" localSheetId="3">Calculations!#REF!</definedName>
    <definedName name="c_maxpct">Table!$H$24</definedName>
    <definedName name="c_QiY">Table!$H$28</definedName>
    <definedName name="Header1" localSheetId="3" hidden="1">IFERROR(IF(COUNTA(Calculations!$A$8:$A1048576)=0,0,INDEX(Calculations!$A$8:$A1048576,MATCH(ROW(Calculations!$A1048576),Calculations!$A$8:$A1048576,TRUE)))+1,1)</definedName>
    <definedName name="Header1" localSheetId="1" hidden="1">IFERROR(IF(COUNTA(Instructions!$A$7:$A1048576)=0,0,INDEX(Instructions!$A$7:$A1048576,MATCH(ROW(Instructions!$A1048576),Instructions!$A$7:$A1048576,TRUE)))+1,1)</definedName>
    <definedName name="Header1" localSheetId="5" hidden="1">IFERROR(IF(COUNTA(Table!$A$7:$A1048576)=0,0,INDEX(Table!$A$7:$A1048576,MATCH(ROW(Table!$A1048576),Table!$A$7:$A1048576,TRUE)))+1,1)</definedName>
    <definedName name="Header1" hidden="1">IFERROR(IF(COUNTA(#REF!)=0,0,INDEX(#REF!,MATCH(ROW(#REF!),#REF!,TRUE)))+1,1)</definedName>
    <definedName name="Header2" localSheetId="3" hidden="1">Calculations!Header1-1 &amp; "." &amp; MAX(1,COUNTA(INDEX(Calculations!$D$8:$D1048576,MATCH(Calculations!Header1-1,Calculations!$A$8:$A1048576,FALSE)):'Calculations'!$D1048576))</definedName>
    <definedName name="Header2" localSheetId="1" hidden="1">Instructions!Header1-1 &amp; "." &amp; MAX(1,COUNTA(INDEX(Instructions!$B$7:$B1048576,MATCH(Instructions!Header1-1,Instructions!$A$7:$A1048576,FALSE)):'Instructions'!$B1048576))</definedName>
    <definedName name="Header2" localSheetId="5" hidden="1">Instructions!Header1-1 &amp; "." &amp; MAX(1,COUNTA(INDEX(Table!$B$7:$B1048576,MATCH(Instructions!Header1-1,Table!$A$7:$A1048576,FALSE)):'Table'!$B1048576))</definedName>
    <definedName name="Header2" hidden="1">[0]!Header1-1 &amp; "." &amp; MAX(1,COUNTA(INDEX(#REF!,MATCH([0]!Header1-1,#REF!,FALSE)):#REF!))</definedName>
    <definedName name="Header3" localSheetId="3" hidden="1">INDEX(Calculations!$D$8:$D1048576,MATCH(Calculations!Header3Find,Calculations!$D$8:$D1048576,FALSE))&amp; "." &amp; MAX(1,COUNTA(INDEX(Calculations!$F$8:$F1048576,MATCH(Calculations!Header3Find,Calculations!$D$8:$D1048576,FALSE)):'Calculations'!$F1048576))</definedName>
    <definedName name="Header3" localSheetId="1" hidden="1">INDEX(Instructions!$B$7:$B1048576,MATCH(Instructions!Header3Find,Instructions!$B$7:$B1048576,FALSE))&amp; "." &amp; MAX(1,COUNTA(INDEX(Instructions!$C$7:$C1048576,MATCH(Instructions!Header3Find,Instructions!$B$7:$B1048576,FALSE)):'Instructions'!$C1048576))</definedName>
    <definedName name="Header3Find" localSheetId="3" hidden="1">MID(Calculations!Header2,1,FIND(".",Calculations!Header2,1))&amp;MID(Calculations!Header2,FIND(".",Calculations!Header2,1)+1,LEN(Calculations!Header2))-1</definedName>
    <definedName name="Header3Find" localSheetId="1" hidden="1">MID(Instructions!Header2,1,FIND(".",Instructions!Header2,1))&amp;MID(Instructions!Header2,FIND(".",Instructions!Header2,1)+1,LEN(Instructions!Header2))-1</definedName>
    <definedName name="Model_Name">Table!$H$14</definedName>
    <definedName name="No">Table!#REF!</definedName>
    <definedName name="One">Table!$H$18</definedName>
    <definedName name="QNOR1">Calculations!$J$30</definedName>
    <definedName name="QNOR2">Calculations!$K$30</definedName>
    <definedName name="QNOR3">Calculations!$L$30</definedName>
    <definedName name="QNOR4">Calculations!$M$30</definedName>
    <definedName name="QRC_q1">Calculations!$J$45</definedName>
    <definedName name="QRC_q2">Calculations!$K$45</definedName>
    <definedName name="QRC_q3">Calculations!$L$45</definedName>
    <definedName name="QRC_q4">Calculations!$M$45</definedName>
    <definedName name="QRCQ1">Calculations!$J$27</definedName>
    <definedName name="QRCQ2">Calculations!$K$27</definedName>
    <definedName name="QRCQ3">Calculations!$L$27</definedName>
    <definedName name="QRCQ4">Calculations!$M$27</definedName>
    <definedName name="QRF_q1">Calculations!$J$44</definedName>
    <definedName name="QRF_q2">Calculations!$K$44</definedName>
    <definedName name="QRF_q3">Calculations!$L$44</definedName>
    <definedName name="QRF_q4">Calculations!$M$44</definedName>
    <definedName name="QRFQ1">Calculations!$J$23</definedName>
    <definedName name="QRFQ2">Calculations!$K$23</definedName>
    <definedName name="QRFQ3">Calculations!$L$23</definedName>
    <definedName name="QRFQ4">Calculations!$M$23</definedName>
    <definedName name="Sbsxn">Table!$H$23</definedName>
    <definedName name="sharing_percentage">Calculations!$H$16</definedName>
    <definedName name="Sht">Table!$H$21</definedName>
    <definedName name="support_percentage">Calculations!$H$15</definedName>
    <definedName name="Sxn">Table!$H$22</definedName>
    <definedName name="Thousand">Table!$H$20</definedName>
    <definedName name="XSY" localSheetId="3">Calculations!$H$40</definedName>
    <definedName name="Zero">Table!$H$19</definedName>
    <definedName name="ZFY">'Input | Outputs'!$H$14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2" l="1"/>
  <c r="K19" i="12"/>
  <c r="L19" i="12"/>
  <c r="M19" i="12"/>
  <c r="J19" i="13" a="1"/>
  <c r="J19" i="13"/>
  <c r="J27" i="13"/>
  <c r="J30" i="13" a="1"/>
  <c r="J30" i="13"/>
  <c r="J45" i="13"/>
  <c r="J50" i="13"/>
  <c r="K27" i="13"/>
  <c r="K45" i="13"/>
  <c r="K50" i="13"/>
  <c r="L27" i="13"/>
  <c r="L45" i="13"/>
  <c r="L50" i="13"/>
  <c r="H55" i="13"/>
  <c r="H24" i="13"/>
  <c r="J23" i="13"/>
  <c r="J44" i="13"/>
  <c r="J49" i="13"/>
  <c r="K23" i="13"/>
  <c r="K44" i="13"/>
  <c r="K49" i="13"/>
  <c r="L23" i="13"/>
  <c r="L44" i="13"/>
  <c r="L49" i="13"/>
  <c r="H54" i="13"/>
  <c r="H40" i="13"/>
  <c r="M58" i="13"/>
  <c r="M66" i="13"/>
  <c r="H28" i="13"/>
  <c r="M60" i="13"/>
  <c r="M68" i="13"/>
  <c r="H25" i="12"/>
  <c r="H27" i="12"/>
  <c r="H33" i="13"/>
  <c r="I13" i="15"/>
  <c r="C33" i="13"/>
  <c r="D39" i="15"/>
  <c r="D38" i="15"/>
  <c r="D37" i="15"/>
  <c r="D36" i="15"/>
  <c r="D24" i="15"/>
  <c r="D23" i="15"/>
  <c r="D22" i="15"/>
  <c r="D21" i="15"/>
  <c r="D31" i="15"/>
  <c r="I14" i="15"/>
  <c r="I15" i="15"/>
  <c r="I16" i="15"/>
  <c r="C12" i="12"/>
  <c r="C13" i="12"/>
  <c r="C14" i="12"/>
  <c r="C16" i="12"/>
  <c r="C18" i="12"/>
  <c r="I12" i="15"/>
  <c r="D32" i="15"/>
  <c r="H26" i="13"/>
  <c r="H22" i="13"/>
  <c r="B2" i="7"/>
  <c r="B2" i="15"/>
  <c r="B2" i="13"/>
  <c r="B2" i="12"/>
  <c r="B2" i="2"/>
  <c r="B2" i="4"/>
  <c r="D1" i="2"/>
  <c r="H33" i="7"/>
  <c r="C2" i="15" a="1"/>
  <c r="C2" i="15" s="1"/>
  <c r="D1" i="15"/>
  <c r="D1" i="13"/>
  <c r="D1" i="12"/>
  <c r="D1" i="7"/>
  <c r="D1" i="4"/>
  <c r="C2" i="7" a="1"/>
  <c r="C2" i="7" s="1"/>
  <c r="H32" i="7"/>
  <c r="M23" i="13"/>
  <c r="M27" i="13"/>
  <c r="C27" i="13"/>
  <c r="F13" i="15" a="1"/>
  <c r="F13" i="15"/>
  <c r="E13" i="15" a="1"/>
  <c r="E13" i="15"/>
  <c r="C19" i="13"/>
  <c r="E38" i="15"/>
  <c r="C38" i="15"/>
  <c r="C28" i="13"/>
  <c r="E37" i="15"/>
  <c r="C37" i="15"/>
  <c r="C24" i="13"/>
  <c r="C23" i="13"/>
  <c r="C19" i="12"/>
  <c r="C6" i="12"/>
  <c r="D6" i="12"/>
  <c r="L46" i="13"/>
  <c r="C30" i="13"/>
  <c r="J46" i="13"/>
  <c r="G13" i="15" a="1"/>
  <c r="K46" i="13"/>
  <c r="G13" i="15"/>
  <c r="C44" i="13"/>
  <c r="C58" i="13"/>
  <c r="E36" i="15"/>
  <c r="C36" i="15"/>
  <c r="C40" i="13" a="1"/>
  <c r="C40" i="13"/>
  <c r="C46" i="13"/>
  <c r="C45" i="13"/>
  <c r="E28" i="15"/>
  <c r="C28" i="15"/>
  <c r="H14" i="15"/>
  <c r="C14" i="15"/>
  <c r="H13" i="15"/>
  <c r="H15" i="15"/>
  <c r="C15" i="15"/>
  <c r="C13" i="15"/>
  <c r="H16" i="15"/>
  <c r="C16" i="15"/>
  <c r="E29" i="15"/>
  <c r="C29" i="15"/>
  <c r="E30" i="15"/>
  <c r="C30" i="15"/>
  <c r="E22" i="15"/>
  <c r="C22" i="15"/>
  <c r="C55" i="13" a="1"/>
  <c r="C55" i="13"/>
  <c r="C50" i="13"/>
  <c r="C49" i="13"/>
  <c r="M70" i="13"/>
  <c r="C70" i="13"/>
  <c r="M62" i="13"/>
  <c r="C62" i="13"/>
  <c r="C54" i="13" a="1"/>
  <c r="C54" i="13"/>
  <c r="C60" i="13"/>
  <c r="C68" i="13"/>
  <c r="C66" i="13"/>
  <c r="E21" i="15"/>
  <c r="C21" i="15"/>
  <c r="C6" i="13"/>
  <c r="D6" i="13"/>
  <c r="H29" i="12"/>
  <c r="H31" i="12"/>
  <c r="E39" i="15"/>
  <c r="C39" i="15"/>
  <c r="E23" i="15"/>
  <c r="C23" i="15"/>
  <c r="E31" i="15"/>
  <c r="C31" i="15"/>
  <c r="E24" i="15"/>
  <c r="C24" i="15"/>
  <c r="E32" i="15"/>
  <c r="C32" i="15"/>
  <c r="C6" i="15"/>
  <c r="D6" i="15"/>
  <c r="C6" i="7"/>
  <c r="D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tc={A9AF38A3-F44D-42C2-8DB3-C9F38FCCEA09}</author>
    <author>tc={383D9DD7-6776-4F2D-812F-D2032BA96A47}</author>
    <author>tc={4188F1B0-A3C4-4CEC-99AF-CEBD5B149679}</author>
    <author>tc={8A844A90-6482-4256-AB1D-FF4DEE36881F}</author>
  </authors>
  <commentList>
    <comment ref="E12" authorId="0" shapeId="0" xr:uid="{A9AF38A3-F44D-42C2-8DB3-C9F38FCCEA09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be Annual Revenue Floor?
Reply:
    Or Quarterly Revenue Floor
Reply:
    Actioned</t>
      </text>
    </comment>
    <comment ref="F12" authorId="1" shapeId="0" xr:uid="{383D9DD7-6776-4F2D-812F-D2032BA96A47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be Annual Revenue Ceiling?
Reply:
    Or Quarterly Revenue Ceiling
Reply:
    Actioned</t>
      </text>
    </comment>
    <comment ref="G12" authorId="2" shapeId="0" xr:uid="{4188F1B0-A3C4-4CEC-99AF-CEBD5B149679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be Quarterly Net Operational Revenue?
Reply:
    Actioned</t>
      </text>
    </comment>
    <comment ref="D19" authorId="3" shapeId="0" xr:uid="{8A844A90-6482-4256-AB1D-FF4DEE36881F}">
      <text>
        <t>[Threaded comment]
Your version of Excel allows you to read this threaded comment; however, any edits to it will get removed if the file is opened in a newer version of Excel. Learn more: https://go.microsoft.com/fwlink/?linkid=870924
Comment:
    'Reconciliation' is not used in this contract and could be confusing with SA-Vic - maybe something like 'Annual Payment Summary'?
Reply:
    Actioned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<sst xmlns="http://schemas.openxmlformats.org/spreadsheetml/2006/main" count="342" uniqueCount="217">
  <si>
    <t>Disclaimer</t>
  </si>
  <si>
    <t>End of sheet</t>
  </si>
  <si>
    <t>Instructions</t>
  </si>
  <si>
    <t>Welcome</t>
  </si>
  <si>
    <r>
      <t xml:space="preserve">This Payment Calculator is provided to Proponents in the </t>
    </r>
    <r>
      <rPr>
        <b/>
        <sz val="11"/>
        <rFont val="Calibri"/>
        <family val="2"/>
        <scheme val="minor"/>
      </rPr>
      <t>Capacity Investment Scheme Tender 1 - NEM Generation</t>
    </r>
    <r>
      <rPr>
        <sz val="11"/>
        <rFont val="Calibri"/>
        <family val="2"/>
        <scheme val="minor"/>
      </rPr>
      <t>. 
The Payment Calculator is designed to assist Proponents to understand the Payment Mechanism and the interactions of bid variables.</t>
    </r>
  </si>
  <si>
    <t>Model Diagram</t>
  </si>
  <si>
    <t>Key to Model Colour Scheme</t>
  </si>
  <si>
    <t>►</t>
  </si>
  <si>
    <t xml:space="preserve">Non-adjustable hard-coded inputs per Capacity Investment Scheme Agreement </t>
  </si>
  <si>
    <t>Manual inputs that can be adjusted by the user</t>
  </si>
  <si>
    <t>Cells surrounded by formula or inputs that have been deliberately left blank and where no assumptions should be added</t>
  </si>
  <si>
    <t>Calculation cells</t>
  </si>
  <si>
    <t>General Guide to the Calculator</t>
  </si>
  <si>
    <t>2.3.1</t>
  </si>
  <si>
    <t>General Points</t>
  </si>
  <si>
    <t>All figures within the Payment Calculator are in Nominal Australian dollars (AUD) unless otherwise stated.</t>
  </si>
  <si>
    <r>
      <t xml:space="preserve">Any item missing notation reference in column G </t>
    </r>
    <r>
      <rPr>
        <sz val="11"/>
        <rFont val="Calibri"/>
        <family val="2"/>
      </rPr>
      <t xml:space="preserve">(in the 'Input | Outputs' and 'Calculations' tabs) </t>
    </r>
    <r>
      <rPr>
        <sz val="11"/>
        <rFont val="Calibri"/>
        <family val="2"/>
        <scheme val="minor"/>
      </rPr>
      <t>does not directly reference back to the CISA's exact wording but rather adopts a naming convention with terms interpreted for improved usability.</t>
    </r>
  </si>
  <si>
    <t>2.3.2</t>
  </si>
  <si>
    <t>Notation Subscript Symbols</t>
  </si>
  <si>
    <t>FY</t>
  </si>
  <si>
    <t>Figures in respect of a Financial Year</t>
  </si>
  <si>
    <t>q</t>
  </si>
  <si>
    <t>Figures in respect of a each Quarter of a Support Year</t>
  </si>
  <si>
    <t>2.3.3</t>
  </si>
  <si>
    <t>Checks</t>
  </si>
  <si>
    <t xml:space="preserve">The status of the checks in the model is displayed at the top of the worksheets. Ideally, the model should always say "All key fields complete". </t>
  </si>
  <si>
    <r>
      <t xml:space="preserve">If not, you should scroll through the sheet to identify which parts of the calculation is causing the error marked as </t>
    </r>
    <r>
      <rPr>
        <sz val="11"/>
        <rFont val="Calibri"/>
        <family val="2"/>
        <scheme val="minor"/>
      </rPr>
      <t>red cross (</t>
    </r>
    <r>
      <rPr>
        <b/>
        <sz val="11"/>
        <color rgb="FFFF0000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>.</t>
    </r>
  </si>
  <si>
    <t>Back</t>
  </si>
  <si>
    <t>Input | Outputs</t>
  </si>
  <si>
    <r>
      <t>&gt;&gt;Guide: All manual inputs (</t>
    </r>
    <r>
      <rPr>
        <b/>
        <i/>
        <sz val="11"/>
        <color rgb="FFC00000"/>
        <rFont val="Calibri"/>
        <family val="2"/>
        <scheme val="minor"/>
      </rPr>
      <t>yellow cells</t>
    </r>
    <r>
      <rPr>
        <i/>
        <sz val="11"/>
        <color rgb="FFC00000"/>
        <rFont val="Calibri"/>
        <family val="2"/>
        <scheme val="minor"/>
      </rPr>
      <t>) need to have entered a value (0 for nil input) in the relevant fields</t>
    </r>
  </si>
  <si>
    <t xml:space="preserve"> </t>
  </si>
  <si>
    <t>Inputs / Assumptions</t>
  </si>
  <si>
    <t>CISA Reference</t>
  </si>
  <si>
    <t>Unit</t>
  </si>
  <si>
    <t>Notation</t>
  </si>
  <si>
    <t>Static Value</t>
  </si>
  <si>
    <t>Q1</t>
  </si>
  <si>
    <t>Q2</t>
  </si>
  <si>
    <t>Q3</t>
  </si>
  <si>
    <t>Q4</t>
  </si>
  <si>
    <t xml:space="preserve">Annual Floor </t>
  </si>
  <si>
    <t>Reference Details (Item 15)</t>
  </si>
  <si>
    <t>$/MWh</t>
  </si>
  <si>
    <r>
      <t>AF</t>
    </r>
    <r>
      <rPr>
        <vertAlign val="subscript"/>
        <sz val="11"/>
        <rFont val="Calibri"/>
        <family val="2"/>
      </rPr>
      <t>FY</t>
    </r>
  </si>
  <si>
    <t>Annual Ceiling</t>
  </si>
  <si>
    <t>Reference Details (Item 16)</t>
  </si>
  <si>
    <r>
      <t>AC</t>
    </r>
    <r>
      <rPr>
        <vertAlign val="subscript"/>
        <sz val="11"/>
        <rFont val="Calibri"/>
        <family val="2"/>
      </rPr>
      <t>FY</t>
    </r>
  </si>
  <si>
    <t>Annual Payment Cap</t>
  </si>
  <si>
    <t>Reference Details (Item 18)</t>
  </si>
  <si>
    <t>$ p.a.</t>
  </si>
  <si>
    <r>
      <t>Z</t>
    </r>
    <r>
      <rPr>
        <vertAlign val="subscript"/>
        <sz val="11"/>
        <rFont val="Calibri"/>
        <family val="2"/>
      </rPr>
      <t>FY</t>
    </r>
  </si>
  <si>
    <t>Quarterly Net Operational Revenue(s)</t>
  </si>
  <si>
    <t>sch 1 (Item 3.3)</t>
  </si>
  <si>
    <t>$ p.q.</t>
  </si>
  <si>
    <r>
      <t>QNOR</t>
    </r>
    <r>
      <rPr>
        <vertAlign val="subscript"/>
        <sz val="11"/>
        <rFont val="Calibri"/>
        <family val="2"/>
        <scheme val="minor"/>
      </rPr>
      <t>Q</t>
    </r>
  </si>
  <si>
    <t>Notional Quantity</t>
  </si>
  <si>
    <t>sch 1 (Item 3.9)</t>
  </si>
  <si>
    <t>MWh</t>
  </si>
  <si>
    <r>
      <rPr>
        <sz val="11"/>
        <rFont val="Calibri"/>
        <family val="2"/>
      </rPr>
      <t>Σ</t>
    </r>
    <r>
      <rPr>
        <sz val="11"/>
        <rFont val="Calibri"/>
        <family val="2"/>
        <scheme val="minor"/>
      </rPr>
      <t>NQTI</t>
    </r>
    <r>
      <rPr>
        <vertAlign val="subscript"/>
        <sz val="11"/>
        <rFont val="Calibri"/>
        <family val="2"/>
        <scheme val="minor"/>
      </rPr>
      <t>Q</t>
    </r>
  </si>
  <si>
    <t>Average revenue per MWh of Notional Quantity</t>
  </si>
  <si>
    <t>Outputs</t>
  </si>
  <si>
    <t>Support Year</t>
  </si>
  <si>
    <t>Annual Adjustment Amount</t>
  </si>
  <si>
    <t>Sum of Quarterly Payment Amounts payable by the Commonwealth</t>
  </si>
  <si>
    <t>sch 1 (Item 4.2 (a) &amp; 4.6)</t>
  </si>
  <si>
    <r>
      <t xml:space="preserve">$ </t>
    </r>
    <r>
      <rPr>
        <vertAlign val="subscript"/>
        <sz val="11"/>
        <color theme="0" tint="-0.499984740745262"/>
        <rFont val="Calibri"/>
        <family val="2"/>
        <scheme val="minor"/>
      </rPr>
      <t>∑Q1-Q3</t>
    </r>
  </si>
  <si>
    <r>
      <t>∑CQPA</t>
    </r>
    <r>
      <rPr>
        <vertAlign val="subscript"/>
        <sz val="11"/>
        <color theme="1"/>
        <rFont val="Calibri"/>
        <family val="2"/>
        <scheme val="minor"/>
      </rPr>
      <t>FY</t>
    </r>
  </si>
  <si>
    <t>&gt;&gt;Note: A positive cash flow for this calculation is a receivable for the Project Operator from the Commonwealth. A negative cash flow is a payable from the Project Operator to the Commonwealth.</t>
  </si>
  <si>
    <t>Sum of Quarterly Payment Amounts payable by the Project Operator</t>
  </si>
  <si>
    <t>sch 1 (Item 4.2 (b) &amp; 4.6)</t>
  </si>
  <si>
    <r>
      <t>∑OQPA</t>
    </r>
    <r>
      <rPr>
        <vertAlign val="subscript"/>
        <sz val="11"/>
        <color theme="1"/>
        <rFont val="Calibri"/>
        <family val="2"/>
        <scheme val="minor"/>
      </rPr>
      <t>FY</t>
    </r>
  </si>
  <si>
    <t>&gt;&gt;Note: A positive cash flow for this calculation is a payable for the Project Operator to the Commonwealth. A negative cash flow is a receivable to the Project Operator from the Commonwealth.</t>
  </si>
  <si>
    <t>sch 1 (Item 4.2)</t>
  </si>
  <si>
    <r>
      <t xml:space="preserve">$p.q. </t>
    </r>
    <r>
      <rPr>
        <vertAlign val="subscript"/>
        <sz val="11"/>
        <color theme="0" tint="-0.499984740745262"/>
        <rFont val="Calibri"/>
        <family val="2"/>
        <scheme val="minor"/>
      </rPr>
      <t>Q4</t>
    </r>
  </si>
  <si>
    <r>
      <t>AAA</t>
    </r>
    <r>
      <rPr>
        <vertAlign val="subscript"/>
        <sz val="11"/>
        <rFont val="Calibri"/>
        <family val="2"/>
        <scheme val="minor"/>
      </rPr>
      <t>FY</t>
    </r>
  </si>
  <si>
    <t>Net annual payments</t>
  </si>
  <si>
    <t>Chart Visualisation | Dashboard</t>
  </si>
  <si>
    <t>Calculations</t>
  </si>
  <si>
    <t>Operational Inputs</t>
  </si>
  <si>
    <t>Formula</t>
  </si>
  <si>
    <t>4.1.1</t>
  </si>
  <si>
    <t>Revenue/Payment</t>
  </si>
  <si>
    <t>4.1.1.1</t>
  </si>
  <si>
    <t>Operator Revenue</t>
  </si>
  <si>
    <t>Revenue Floor Support Percentage</t>
  </si>
  <si>
    <t xml:space="preserve"> sch 1 (Item 4.2)</t>
  </si>
  <si>
    <t>%</t>
  </si>
  <si>
    <t>J</t>
  </si>
  <si>
    <t>support_percentage</t>
  </si>
  <si>
    <t>Revenue Ceiling Sharing Percentage</t>
  </si>
  <si>
    <t>L</t>
  </si>
  <si>
    <t>sharing_percentage</t>
  </si>
  <si>
    <t>4.1.1.2</t>
  </si>
  <si>
    <t>Calculation of Notional Quantity</t>
  </si>
  <si>
    <t>Notional Quantity for the Trading Interval</t>
  </si>
  <si>
    <t>4.1.1.3</t>
  </si>
  <si>
    <t>Quarterly Payment Amount</t>
  </si>
  <si>
    <t>Annual Floor for the Financial Year</t>
  </si>
  <si>
    <t>AFFY</t>
  </si>
  <si>
    <t>Quarterly Revenue Floor</t>
  </si>
  <si>
    <t xml:space="preserve"> sch 1 (Item 3.7)</t>
  </si>
  <si>
    <r>
      <t>QRF</t>
    </r>
    <r>
      <rPr>
        <vertAlign val="subscript"/>
        <sz val="11"/>
        <rFont val="Calibri"/>
        <family val="2"/>
        <scheme val="minor"/>
      </rPr>
      <t>Q</t>
    </r>
  </si>
  <si>
    <r>
      <t>QRF</t>
    </r>
    <r>
      <rPr>
        <vertAlign val="subscript"/>
        <sz val="11"/>
        <color theme="0" tint="-0.499984740745262"/>
        <rFont val="Calibri"/>
        <family val="2"/>
        <scheme val="minor"/>
      </rPr>
      <t>Q</t>
    </r>
    <r>
      <rPr>
        <sz val="11"/>
        <color theme="0" tint="-0.499984740745262"/>
        <rFont val="Calibri"/>
        <family val="2"/>
        <scheme val="minor"/>
      </rPr>
      <t xml:space="preserve"> = ∑ NQ</t>
    </r>
    <r>
      <rPr>
        <vertAlign val="subscript"/>
        <sz val="11"/>
        <color theme="0" tint="-0.499984740745262"/>
        <rFont val="Calibri"/>
        <family val="2"/>
        <scheme val="minor"/>
      </rPr>
      <t>TI</t>
    </r>
    <r>
      <rPr>
        <sz val="11"/>
        <color theme="0" tint="-0.499984740745262"/>
        <rFont val="Calibri"/>
        <family val="2"/>
        <scheme val="minor"/>
      </rPr>
      <t xml:space="preserve"> × AF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</si>
  <si>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t>Annual Revenue Floor</t>
  </si>
  <si>
    <t xml:space="preserve"> sch 1 (Item 4.4)</t>
  </si>
  <si>
    <r>
      <t>ARF</t>
    </r>
    <r>
      <rPr>
        <vertAlign val="subscript"/>
        <sz val="11"/>
        <rFont val="Calibri"/>
        <family val="2"/>
      </rPr>
      <t>FY</t>
    </r>
  </si>
  <si>
    <t>ARFFY</t>
  </si>
  <si>
    <r>
      <t>ARF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∑ NQ</t>
    </r>
    <r>
      <rPr>
        <vertAlign val="subscript"/>
        <sz val="11"/>
        <color theme="0" tint="-0.499984740745262"/>
        <rFont val="Calibri"/>
        <family val="2"/>
        <scheme val="minor"/>
      </rPr>
      <t>TI</t>
    </r>
    <r>
      <rPr>
        <sz val="11"/>
        <color theme="0" tint="-0.499984740745262"/>
        <rFont val="Calibri"/>
        <family val="2"/>
        <scheme val="minor"/>
      </rPr>
      <t xml:space="preserve"> × AF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</si>
  <si>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t>Annual Ceiling for the Financial Year</t>
  </si>
  <si>
    <t>ACFY</t>
  </si>
  <si>
    <t>Quarterly Revenue Ceiling</t>
  </si>
  <si>
    <t xml:space="preserve"> sch 1 (Item 3.8)</t>
  </si>
  <si>
    <r>
      <t>QRC</t>
    </r>
    <r>
      <rPr>
        <vertAlign val="subscript"/>
        <sz val="11"/>
        <rFont val="Calibri"/>
        <family val="2"/>
        <scheme val="minor"/>
      </rPr>
      <t>Q</t>
    </r>
  </si>
  <si>
    <r>
      <t>QRC</t>
    </r>
    <r>
      <rPr>
        <vertAlign val="subscript"/>
        <sz val="11"/>
        <color theme="0" tint="-0.499984740745262"/>
        <rFont val="Calibri"/>
        <family val="2"/>
        <scheme val="minor"/>
      </rPr>
      <t>Q</t>
    </r>
    <r>
      <rPr>
        <sz val="11"/>
        <color theme="0" tint="-0.499984740745262"/>
        <rFont val="Calibri"/>
        <family val="2"/>
        <scheme val="minor"/>
      </rPr>
      <t xml:space="preserve"> = ∑ NQ</t>
    </r>
    <r>
      <rPr>
        <vertAlign val="subscript"/>
        <sz val="11"/>
        <color theme="0" tint="-0.499984740745262"/>
        <rFont val="Calibri"/>
        <family val="2"/>
        <scheme val="minor"/>
      </rPr>
      <t>TI</t>
    </r>
    <r>
      <rPr>
        <sz val="11"/>
        <color theme="0" tint="-0.499984740745262"/>
        <rFont val="Calibri"/>
        <family val="2"/>
        <scheme val="minor"/>
      </rPr>
      <t xml:space="preserve"> × AC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</si>
  <si>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t>Annual Revenue Ceiling</t>
  </si>
  <si>
    <t xml:space="preserve"> sch 1 (Item 4.5)</t>
  </si>
  <si>
    <r>
      <t>ARC</t>
    </r>
    <r>
      <rPr>
        <vertAlign val="subscript"/>
        <sz val="11"/>
        <rFont val="Calibri"/>
        <family val="2"/>
      </rPr>
      <t>FY</t>
    </r>
  </si>
  <si>
    <t>ARCFY</t>
  </si>
  <si>
    <r>
      <t>ARC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∑ NQ</t>
    </r>
    <r>
      <rPr>
        <vertAlign val="subscript"/>
        <sz val="11"/>
        <color theme="0" tint="-0.499984740745262"/>
        <rFont val="Calibri"/>
        <family val="2"/>
        <scheme val="minor"/>
      </rPr>
      <t>TI</t>
    </r>
    <r>
      <rPr>
        <sz val="11"/>
        <color theme="0" tint="-0.499984740745262"/>
        <rFont val="Calibri"/>
        <family val="2"/>
        <scheme val="minor"/>
      </rPr>
      <t xml:space="preserve"> × AC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</si>
  <si>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t>4.1.1.4</t>
  </si>
  <si>
    <t>Commonwealth Payment</t>
  </si>
  <si>
    <r>
      <t>Z</t>
    </r>
    <r>
      <rPr>
        <vertAlign val="subscript"/>
        <sz val="11"/>
        <rFont val="Calibri"/>
        <family val="2"/>
        <scheme val="minor"/>
      </rPr>
      <t>FY</t>
    </r>
  </si>
  <si>
    <t>ZFY</t>
  </si>
  <si>
    <t>&gt;&gt;Note: Payments to both the Commonwealth and the Project Operator do not exceed the Annual Payment Cap</t>
  </si>
  <si>
    <t>Operational Calculations</t>
  </si>
  <si>
    <t>Financial Year</t>
  </si>
  <si>
    <t>4.2.1</t>
  </si>
  <si>
    <t>Annual Net Operational Revenue</t>
  </si>
  <si>
    <t xml:space="preserve"> sch 1 (Item 4.3)</t>
  </si>
  <si>
    <r>
      <t>ANOR</t>
    </r>
    <r>
      <rPr>
        <vertAlign val="subscript"/>
        <sz val="11"/>
        <rFont val="Calibri"/>
        <family val="2"/>
        <scheme val="minor"/>
      </rPr>
      <t>FY</t>
    </r>
  </si>
  <si>
    <t>4.2.1.1</t>
  </si>
  <si>
    <t>Calculation of Quarterly Payment Amount</t>
  </si>
  <si>
    <t>sch 1 (Item 3.1)</t>
  </si>
  <si>
    <t>$p.q.</t>
  </si>
  <si>
    <r>
      <t>QPA</t>
    </r>
    <r>
      <rPr>
        <vertAlign val="subscript"/>
        <sz val="11"/>
        <color theme="1"/>
        <rFont val="Calibri"/>
        <family val="2"/>
        <scheme val="minor"/>
      </rPr>
      <t>Q</t>
    </r>
  </si>
  <si>
    <t>Before applying the Annual Payment Cap:</t>
  </si>
  <si>
    <r>
      <t>(a) Calculated Quarterly Payment Amount before Annual Payment Cap if QNOR less than Quarterly Revenue Floor (QRF</t>
    </r>
    <r>
      <rPr>
        <vertAlign val="subscript"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)</t>
    </r>
  </si>
  <si>
    <t>sch 1 (Item 3.2 (a))</t>
  </si>
  <si>
    <r>
      <t>(b) Calculated Quarterly Payment Amount before Annual Payment Cap if QNOR greater than Quarterly Revenue Ceiling (QRC</t>
    </r>
    <r>
      <rPr>
        <vertAlign val="subscript"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)</t>
    </r>
  </si>
  <si>
    <t>sch 1 (Item 3.2 (b))</t>
  </si>
  <si>
    <r>
      <t>(c) Calculated Quarterly Payment Amount before Annual Payment Cap if QNOR equal to or greater than (QRF</t>
    </r>
    <r>
      <rPr>
        <vertAlign val="subscript"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) and equal to or less than (QRC</t>
    </r>
    <r>
      <rPr>
        <vertAlign val="subscript"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)</t>
    </r>
  </si>
  <si>
    <t>sch 1 (Item 3.2(c))</t>
  </si>
  <si>
    <t>4.2.1.2</t>
  </si>
  <si>
    <t>After applying the Annual Payment Cap:</t>
  </si>
  <si>
    <t>Quarterly Payment Amounts payable by the Commonwealth</t>
  </si>
  <si>
    <t>sch 1 (Item 3.12)</t>
  </si>
  <si>
    <t>Quarterly Payment Amounts payable by Project Operator</t>
  </si>
  <si>
    <t>4.2.1.3</t>
  </si>
  <si>
    <t xml:space="preserve">Calculation of Annual Adjustment Amount </t>
  </si>
  <si>
    <t>sch 1 (Item 4.1)</t>
  </si>
  <si>
    <t>Sum of Quarterly Payment Amounts:</t>
  </si>
  <si>
    <t>∑ Quarterly Payment Amounts for quarters in the Financial Year payable by the Commonwealth</t>
  </si>
  <si>
    <t>$</t>
  </si>
  <si>
    <r>
      <t>∑CQPA</t>
    </r>
    <r>
      <rPr>
        <vertAlign val="subscript"/>
        <sz val="11"/>
        <rFont val="Calibri"/>
        <family val="2"/>
        <scheme val="minor"/>
      </rPr>
      <t>FY</t>
    </r>
  </si>
  <si>
    <t>∑ Quarterly Payment Amounts for quarters in the Financial Year payable by Project Operator</t>
  </si>
  <si>
    <r>
      <t>∑OQPA</t>
    </r>
    <r>
      <rPr>
        <vertAlign val="subscript"/>
        <sz val="11"/>
        <rFont val="Calibri"/>
        <family val="2"/>
        <scheme val="minor"/>
      </rPr>
      <t>FY</t>
    </r>
  </si>
  <si>
    <t>4.2.1.4</t>
  </si>
  <si>
    <r>
      <t>(a) Calculated Annual Adjustment Amount before Annual Payment Cap - ANOR less than Annual Revenue Floor (ARF</t>
    </r>
    <r>
      <rPr>
        <vertAlign val="subscript"/>
        <sz val="11"/>
        <color theme="1"/>
        <rFont val="Calibri"/>
        <family val="2"/>
        <scheme val="minor"/>
      </rPr>
      <t>FY</t>
    </r>
    <r>
      <rPr>
        <sz val="11"/>
        <color theme="1"/>
        <rFont val="Calibri"/>
        <family val="2"/>
        <scheme val="minor"/>
      </rPr>
      <t>)</t>
    </r>
  </si>
  <si>
    <t>sch 1 (Item 4.2 (a))</t>
  </si>
  <si>
    <r>
      <t>AAA</t>
    </r>
    <r>
      <rPr>
        <vertAlign val="subscript"/>
        <sz val="11"/>
        <rFont val="Calibri"/>
        <family val="2"/>
        <scheme val="minor"/>
      </rPr>
      <t>FY(ARF)</t>
    </r>
  </si>
  <si>
    <r>
      <t>AAA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90% x (ANOR</t>
    </r>
    <r>
      <rPr>
        <vertAlign val="subscript"/>
        <sz val="11"/>
        <color theme="0" tint="-0.499984740745262"/>
        <rFont val="Calibri"/>
        <family val="2"/>
        <scheme val="minor"/>
      </rPr>
      <t xml:space="preserve">FY </t>
    </r>
    <r>
      <rPr>
        <sz val="11"/>
        <color theme="0" tint="-0.499984740745262"/>
        <rFont val="Calibri"/>
        <family val="2"/>
        <scheme val="minor"/>
      </rPr>
      <t>-</t>
    </r>
    <r>
      <rPr>
        <vertAlign val="subscript"/>
        <sz val="11"/>
        <color theme="0" tint="-0.499984740745262"/>
        <rFont val="Calibri"/>
        <family val="2"/>
        <scheme val="minor"/>
      </rPr>
      <t xml:space="preserve"> </t>
    </r>
    <r>
      <rPr>
        <sz val="11"/>
        <color theme="0" tint="-0.499984740745262"/>
        <rFont val="Calibri"/>
        <family val="2"/>
        <scheme val="minor"/>
      </rPr>
      <t>ARC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>) - ∑ CQPA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 + ∑ OQPA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</si>
  <si>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r>
      <t>(b) Calculated Annual Adjustment Amount before Annual Payment Cap - ANOR greater than Annual Revenue Ceiling (ARC</t>
    </r>
    <r>
      <rPr>
        <vertAlign val="subscript"/>
        <sz val="11"/>
        <color theme="1"/>
        <rFont val="Calibri"/>
        <family val="2"/>
        <scheme val="minor"/>
      </rPr>
      <t>FY</t>
    </r>
    <r>
      <rPr>
        <sz val="11"/>
        <color theme="1"/>
        <rFont val="Calibri"/>
        <family val="2"/>
        <scheme val="minor"/>
      </rPr>
      <t>)</t>
    </r>
  </si>
  <si>
    <t>sch 1 (Item 4.2 (b))</t>
  </si>
  <si>
    <r>
      <t>AAA</t>
    </r>
    <r>
      <rPr>
        <vertAlign val="subscript"/>
        <sz val="11"/>
        <rFont val="Calibri"/>
        <family val="2"/>
        <scheme val="minor"/>
      </rPr>
      <t>FY(ARC)</t>
    </r>
  </si>
  <si>
    <r>
      <t>AAA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50% x (ARF</t>
    </r>
    <r>
      <rPr>
        <vertAlign val="subscript"/>
        <sz val="11"/>
        <color theme="0" tint="-0.499984740745262"/>
        <rFont val="Calibri"/>
        <family val="2"/>
        <scheme val="minor"/>
      </rPr>
      <t xml:space="preserve">FY </t>
    </r>
    <r>
      <rPr>
        <sz val="11"/>
        <color theme="0" tint="-0.499984740745262"/>
        <rFont val="Calibri"/>
        <family val="2"/>
        <scheme val="minor"/>
      </rPr>
      <t>- ANOR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>) - ∑ OQPA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 + ∑ CQPA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</si>
  <si>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r>
      <t>(c) Annual Adjustment Amount - ANOR equal to or greater than (ARF</t>
    </r>
    <r>
      <rPr>
        <vertAlign val="subscript"/>
        <sz val="11"/>
        <color theme="1"/>
        <rFont val="Calibri"/>
        <family val="2"/>
        <scheme val="minor"/>
      </rPr>
      <t>FY</t>
    </r>
    <r>
      <rPr>
        <sz val="11"/>
        <color theme="1"/>
        <rFont val="Calibri"/>
        <family val="2"/>
        <scheme val="minor"/>
      </rPr>
      <t>) and equal to or less than (ARF</t>
    </r>
    <r>
      <rPr>
        <vertAlign val="subscript"/>
        <sz val="11"/>
        <color theme="1"/>
        <rFont val="Calibri"/>
        <family val="2"/>
        <scheme val="minor"/>
      </rPr>
      <t>FY</t>
    </r>
    <r>
      <rPr>
        <sz val="11"/>
        <color theme="1"/>
        <rFont val="Calibri"/>
        <family val="2"/>
        <scheme val="minor"/>
      </rPr>
      <t>)</t>
    </r>
  </si>
  <si>
    <t>sch 1 (Item 4.2 (c) &amp; Item 4.6)</t>
  </si>
  <si>
    <r>
      <t>AAA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∑ CQPA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 - ∑ OQPA</t>
    </r>
    <r>
      <rPr>
        <vertAlign val="subscript"/>
        <sz val="11"/>
        <color theme="0" tint="-0.499984740745262"/>
        <rFont val="Calibri"/>
        <family val="2"/>
        <scheme val="minor"/>
      </rPr>
      <t>FY</t>
    </r>
  </si>
  <si>
    <t>4.2.1.5</t>
  </si>
  <si>
    <r>
      <t>(a) Annual Adjustment Amount - ANOR less than Annual Revenue Floor (ARF</t>
    </r>
    <r>
      <rPr>
        <vertAlign val="subscript"/>
        <sz val="11"/>
        <color theme="1"/>
        <rFont val="Calibri"/>
        <family val="2"/>
        <scheme val="minor"/>
      </rPr>
      <t>FY</t>
    </r>
    <r>
      <rPr>
        <sz val="11"/>
        <color theme="1"/>
        <rFont val="Calibri"/>
        <family val="2"/>
        <scheme val="minor"/>
      </rPr>
      <t>), with Annual Payment Cap</t>
    </r>
  </si>
  <si>
    <t>sch 1 (Item 4.6)</t>
  </si>
  <si>
    <r>
      <t>AAA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MIN(AAA</t>
    </r>
    <r>
      <rPr>
        <vertAlign val="subscript"/>
        <sz val="11"/>
        <color theme="0" tint="-0.499984740745262"/>
        <rFont val="Calibri"/>
        <family val="2"/>
        <scheme val="minor"/>
      </rPr>
      <t>FY(ARF)</t>
    </r>
    <r>
      <rPr>
        <sz val="11"/>
        <color theme="0" tint="-0.499984740745262"/>
        <rFont val="Calibri"/>
        <family val="2"/>
        <scheme val="minor"/>
      </rPr>
      <t>,ZFY-∑CQPAFY+∑OQPAFY)</t>
    </r>
  </si>
  <si>
    <r>
      <t>(b) Annual Adjustment Amount - ANOR greater than Annual Revenue Ceiling (ARC</t>
    </r>
    <r>
      <rPr>
        <vertAlign val="subscript"/>
        <sz val="11"/>
        <color theme="1"/>
        <rFont val="Calibri"/>
        <family val="2"/>
        <scheme val="minor"/>
      </rPr>
      <t>FY</t>
    </r>
    <r>
      <rPr>
        <sz val="11"/>
        <color theme="1"/>
        <rFont val="Calibri"/>
        <family val="2"/>
        <scheme val="minor"/>
      </rPr>
      <t>), with Annual Payment Cap</t>
    </r>
  </si>
  <si>
    <r>
      <t>AAA</t>
    </r>
    <r>
      <rPr>
        <vertAlign val="subscript"/>
        <sz val="11"/>
        <color theme="0" tint="-0.499984740745262"/>
        <rFont val="Calibri"/>
        <family val="2"/>
        <scheme val="minor"/>
      </rPr>
      <t>FY</t>
    </r>
    <r>
      <rPr>
        <sz val="11"/>
        <color theme="0" tint="-0.499984740745262"/>
        <rFont val="Calibri"/>
        <family val="2"/>
        <scheme val="minor"/>
      </rPr>
      <t xml:space="preserve"> = MIN(AAA</t>
    </r>
    <r>
      <rPr>
        <vertAlign val="subscript"/>
        <sz val="11"/>
        <color theme="0" tint="-0.499984740745262"/>
        <rFont val="Calibri"/>
        <family val="2"/>
        <scheme val="minor"/>
      </rPr>
      <t>FY(ARC)</t>
    </r>
    <r>
      <rPr>
        <sz val="11"/>
        <color theme="0" tint="-0.499984740745262"/>
        <rFont val="Calibri"/>
        <family val="2"/>
        <scheme val="minor"/>
      </rPr>
      <t>,ZFY-∑OQPAFY+∑CQPAFY)</t>
    </r>
  </si>
  <si>
    <t>Revenue Floor and Ceiling</t>
  </si>
  <si>
    <t>Quarters</t>
  </si>
  <si>
    <t>Quarterly Net Operational Revenue</t>
  </si>
  <si>
    <t>Cumulative Net Operational Revenue</t>
  </si>
  <si>
    <t>Quarter 1</t>
  </si>
  <si>
    <t>Quarter 2</t>
  </si>
  <si>
    <t>Quarter 3</t>
  </si>
  <si>
    <t>Quarter 4</t>
  </si>
  <si>
    <t>Calculation of Annual Adjustment Amounts</t>
  </si>
  <si>
    <t>Payment by Quarter</t>
  </si>
  <si>
    <t>Annual revenues</t>
  </si>
  <si>
    <t>Constants</t>
  </si>
  <si>
    <t>Value</t>
  </si>
  <si>
    <t>Name Range</t>
  </si>
  <si>
    <t>6.1.1</t>
  </si>
  <si>
    <t>Model</t>
  </si>
  <si>
    <t>Model name</t>
  </si>
  <si>
    <t>Capacity Investment Scheme NEM Generation - Draft</t>
  </si>
  <si>
    <t>&lt;&lt;Model_Name&gt;&gt;</t>
  </si>
  <si>
    <t>6.1.2</t>
  </si>
  <si>
    <t>Numbers</t>
  </si>
  <si>
    <t>One</t>
  </si>
  <si>
    <t>#</t>
  </si>
  <si>
    <t>&lt;&lt;One&gt;&gt;</t>
  </si>
  <si>
    <t>Zero</t>
  </si>
  <si>
    <t>&lt;&lt;Zero&gt;&gt;</t>
  </si>
  <si>
    <t>Thousand</t>
  </si>
  <si>
    <t>&lt;&lt;Thousand&gt;&gt;</t>
  </si>
  <si>
    <t>Sheet units</t>
  </si>
  <si>
    <t>&lt;&lt;Sht&gt;&gt;</t>
  </si>
  <si>
    <t>Section units</t>
  </si>
  <si>
    <t>&lt;&lt;Sxn&gt;&gt;</t>
  </si>
  <si>
    <t>Sub-section units</t>
  </si>
  <si>
    <t>&lt;&lt;Sbsxn&gt;&gt;</t>
  </si>
  <si>
    <t>Maximum percentage</t>
  </si>
  <si>
    <t>&lt;&lt;c_maxpct&gt;&gt;</t>
  </si>
  <si>
    <t>6.1.3</t>
  </si>
  <si>
    <t>Time</t>
  </si>
  <si>
    <t>Quarters per Year</t>
  </si>
  <si>
    <t>&lt;&lt;c_QiY&gt;&gt;</t>
  </si>
  <si>
    <t>6.1.4</t>
  </si>
  <si>
    <t>&lt;&lt;support_percentage&gt;&gt;</t>
  </si>
  <si>
    <t>&lt;&lt;sharing_percentage&gt;&gt;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</si>
</sst>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General&quot;.&quot;"/>
    <numFmt numFmtId="166" formatCode="0.0_)%;[Red]\(0.0%\);0.0_)%"/>
    <numFmt numFmtId="167" formatCode="[Magenta]&quot;Err&quot;;[Magenta]&quot;Err&quot;;[Blue]&quot;OK&quot;"/>
    <numFmt numFmtId="168" formatCode="#,##0_);[Red]\(#,##0\);\-_)"/>
    <numFmt numFmtId="169" formatCode="0&quot;.&quot;"/>
    <numFmt numFmtId="170" formatCode="[Color50]&quot;&quot;;[Color44]&quot;&quot;;[Color22]&quot;&quot;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name val="Calibri"/>
      <family val="2"/>
    </font>
    <font>
      <sz val="10"/>
      <color indexed="12"/>
      <name val="Arial"/>
      <family val="2"/>
    </font>
    <font>
      <i/>
      <sz val="11"/>
      <color theme="0" tint="-0.34998626667073579"/>
      <name val="Calibri"/>
      <family val="2"/>
      <scheme val="minor"/>
    </font>
    <font>
      <b/>
      <sz val="8"/>
      <color indexed="12"/>
      <name val="Arial"/>
      <family val="2"/>
    </font>
    <font>
      <strike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.5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theme="2" tint="-0.499984740745262"/>
      <name val="Calibri"/>
      <family val="2"/>
      <scheme val="minor"/>
    </font>
    <font>
      <b/>
      <sz val="12"/>
      <color theme="3" tint="0.249977111117893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rgb="FF198E7D"/>
      <name val="Calibri Light"/>
      <family val="2"/>
      <scheme val="maj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Segoe UI Symbol"/>
      <family val="2"/>
    </font>
    <font>
      <b/>
      <sz val="12"/>
      <color theme="0"/>
      <name val="Calibri"/>
      <family val="2"/>
      <scheme val="minor"/>
    </font>
    <font>
      <i/>
      <sz val="9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198E7D"/>
      <name val="Calibri"/>
      <family val="2"/>
      <scheme val="minor"/>
    </font>
    <font>
      <sz val="10"/>
      <color theme="1"/>
      <name val="Segoe UI Symbol"/>
      <family val="2"/>
    </font>
    <font>
      <b/>
      <sz val="11"/>
      <color rgb="FFFF0000"/>
      <name val="Calibri"/>
      <family val="2"/>
      <scheme val="minor"/>
    </font>
    <font>
      <b/>
      <sz val="10"/>
      <color rgb="FF198E7D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2"/>
      <color theme="0"/>
      <name val="Calibri Light"/>
      <family val="2"/>
      <scheme val="major"/>
    </font>
    <font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vertAlign val="subscript"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2" tint="-0.49998474074526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gray125">
        <bgColor indexed="55"/>
      </patternFill>
    </fill>
    <fill>
      <patternFill patternType="solid">
        <fgColor rgb="FFA5A5A5"/>
        <bgColor indexed="64"/>
      </patternFill>
    </fill>
    <fill>
      <patternFill patternType="solid">
        <fgColor rgb="FF198E7D"/>
        <bgColor indexed="64"/>
      </patternFill>
    </fill>
    <fill>
      <patternFill patternType="solid">
        <fgColor rgb="FF0A3943"/>
        <bgColor indexed="64"/>
      </patternFill>
    </fill>
    <fill>
      <patternFill patternType="solid">
        <fgColor rgb="FF9AFFC1"/>
        <bgColor indexed="64"/>
      </patternFill>
    </fill>
    <fill>
      <patternFill patternType="solid">
        <fgColor rgb="FF198D7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6A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165" fontId="8" fillId="4" borderId="3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6" fontId="14" fillId="5" borderId="4" applyAlignment="0">
      <protection locked="0"/>
    </xf>
    <xf numFmtId="167" fontId="16" fillId="0" borderId="0" applyFill="0" applyBorder="0"/>
    <xf numFmtId="168" fontId="14" fillId="5" borderId="4" applyAlignment="0">
      <protection locked="0"/>
    </xf>
    <xf numFmtId="0" fontId="19" fillId="6" borderId="0" applyNumberFormat="0" applyFont="0" applyAlignment="0" applyProtection="0"/>
    <xf numFmtId="0" fontId="37" fillId="0" borderId="0" applyNumberFormat="0" applyFill="0" applyBorder="0" applyAlignment="0" applyProtection="0"/>
  </cellStyleXfs>
  <cellXfs count="132">
    <xf numFmtId="0" fontId="0" fillId="0" borderId="0" xfId="0"/>
    <xf numFmtId="164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164" fontId="0" fillId="0" borderId="0" xfId="0" applyNumberFormat="1"/>
    <xf numFmtId="0" fontId="2" fillId="0" borderId="0" xfId="0" applyFont="1"/>
    <xf numFmtId="0" fontId="9" fillId="0" borderId="0" xfId="4"/>
    <xf numFmtId="0" fontId="17" fillId="0" borderId="0" xfId="0" applyFont="1" applyAlignment="1">
      <alignment horizontal="center" vertical="center"/>
    </xf>
    <xf numFmtId="168" fontId="4" fillId="6" borderId="0" xfId="9" applyNumberFormat="1" applyFont="1" applyAlignment="1">
      <alignment horizontal="center"/>
    </xf>
    <xf numFmtId="164" fontId="1" fillId="0" borderId="1" xfId="0" applyNumberFormat="1" applyFont="1" applyBorder="1"/>
    <xf numFmtId="0" fontId="15" fillId="0" borderId="0" xfId="0" applyFont="1"/>
    <xf numFmtId="0" fontId="11" fillId="0" borderId="0" xfId="0" applyFont="1"/>
    <xf numFmtId="0" fontId="21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9" fontId="20" fillId="0" borderId="0" xfId="0" applyNumberFormat="1" applyFont="1" applyAlignment="1">
      <alignment horizontal="left" vertical="center"/>
    </xf>
    <xf numFmtId="0" fontId="9" fillId="0" borderId="0" xfId="4" applyAlignment="1">
      <alignment horizontal="left"/>
    </xf>
    <xf numFmtId="0" fontId="0" fillId="0" borderId="0" xfId="0" applyAlignment="1">
      <alignment horizontal="left"/>
    </xf>
    <xf numFmtId="0" fontId="9" fillId="0" borderId="0" xfId="4" applyBorder="1" applyAlignment="1">
      <alignment horizontal="left"/>
    </xf>
    <xf numFmtId="0" fontId="22" fillId="0" borderId="0" xfId="4" applyFont="1" applyBorder="1" applyAlignment="1">
      <alignment horizontal="left"/>
    </xf>
    <xf numFmtId="164" fontId="1" fillId="0" borderId="0" xfId="0" applyNumberFormat="1" applyFont="1"/>
    <xf numFmtId="0" fontId="0" fillId="0" borderId="0" xfId="0" applyAlignment="1">
      <alignment wrapText="1"/>
    </xf>
    <xf numFmtId="9" fontId="18" fillId="7" borderId="1" xfId="2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center"/>
    </xf>
    <xf numFmtId="164" fontId="18" fillId="7" borderId="1" xfId="2" applyNumberFormat="1" applyFont="1" applyFill="1" applyBorder="1"/>
    <xf numFmtId="168" fontId="0" fillId="0" borderId="0" xfId="0" applyNumberFormat="1" applyAlignment="1">
      <alignment horizontal="left"/>
    </xf>
    <xf numFmtId="168" fontId="4" fillId="0" borderId="0" xfId="8" applyFont="1" applyFill="1" applyBorder="1" applyAlignment="1" applyProtection="1">
      <alignment horizontal="left"/>
    </xf>
    <xf numFmtId="0" fontId="27" fillId="0" borderId="0" xfId="0" applyFont="1"/>
    <xf numFmtId="0" fontId="0" fillId="0" borderId="0" xfId="0" applyAlignment="1">
      <alignment vertical="top"/>
    </xf>
    <xf numFmtId="0" fontId="28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0" fillId="8" borderId="0" xfId="0" applyFill="1" applyAlignment="1">
      <alignment vertical="top"/>
    </xf>
    <xf numFmtId="0" fontId="0" fillId="9" borderId="5" xfId="0" applyFill="1" applyBorder="1" applyAlignment="1">
      <alignment vertical="top"/>
    </xf>
    <xf numFmtId="0" fontId="29" fillId="9" borderId="5" xfId="0" applyFont="1" applyFill="1" applyBorder="1" applyAlignment="1">
      <alignment vertical="top"/>
    </xf>
    <xf numFmtId="0" fontId="0" fillId="9" borderId="0" xfId="0" applyFill="1"/>
    <xf numFmtId="0" fontId="0" fillId="9" borderId="0" xfId="0" applyFill="1" applyAlignment="1">
      <alignment vertical="top"/>
    </xf>
    <xf numFmtId="0" fontId="0" fillId="10" borderId="0" xfId="0" applyFill="1" applyAlignment="1">
      <alignment vertical="top"/>
    </xf>
    <xf numFmtId="0" fontId="4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18" fillId="7" borderId="1" xfId="0" applyFont="1" applyFill="1" applyBorder="1"/>
    <xf numFmtId="170" fontId="34" fillId="0" borderId="0" xfId="0" applyNumberFormat="1" applyFont="1" applyAlignment="1">
      <alignment horizontal="center"/>
    </xf>
    <xf numFmtId="0" fontId="33" fillId="0" borderId="0" xfId="4" applyFont="1" applyAlignment="1">
      <alignment horizontal="left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center" vertical="center"/>
    </xf>
    <xf numFmtId="0" fontId="20" fillId="11" borderId="3" xfId="3" applyNumberFormat="1" applyFont="1" applyFill="1" applyAlignment="1">
      <alignment horizontal="left"/>
    </xf>
    <xf numFmtId="165" fontId="20" fillId="11" borderId="3" xfId="3" applyFont="1" applyFill="1"/>
    <xf numFmtId="0" fontId="0" fillId="0" borderId="0" xfId="0" quotePrefix="1" applyAlignment="1">
      <alignment vertical="top"/>
    </xf>
    <xf numFmtId="0" fontId="38" fillId="0" borderId="0" xfId="10" applyFont="1" applyAlignment="1">
      <alignment vertical="top"/>
    </xf>
    <xf numFmtId="0" fontId="43" fillId="9" borderId="5" xfId="0" applyFont="1" applyFill="1" applyBorder="1" applyAlignment="1">
      <alignment vertical="top"/>
    </xf>
    <xf numFmtId="164" fontId="4" fillId="0" borderId="1" xfId="1" applyNumberFormat="1" applyFont="1" applyFill="1" applyBorder="1"/>
    <xf numFmtId="0" fontId="0" fillId="0" borderId="0" xfId="0" applyAlignment="1">
      <alignment horizontal="right"/>
    </xf>
    <xf numFmtId="168" fontId="4" fillId="6" borderId="1" xfId="9" applyNumberFormat="1" applyFont="1" applyBorder="1" applyAlignment="1">
      <alignment horizontal="right"/>
    </xf>
    <xf numFmtId="164" fontId="1" fillId="0" borderId="1" xfId="1" applyNumberFormat="1" applyFont="1" applyFill="1" applyBorder="1"/>
    <xf numFmtId="0" fontId="2" fillId="0" borderId="0" xfId="0" applyFont="1" applyAlignment="1">
      <alignment horizontal="left" vertical="center" wrapText="1"/>
    </xf>
    <xf numFmtId="0" fontId="41" fillId="0" borderId="0" xfId="0" applyFont="1" applyAlignment="1">
      <alignment vertical="top"/>
    </xf>
    <xf numFmtId="0" fontId="20" fillId="11" borderId="3" xfId="3" applyNumberFormat="1" applyFont="1" applyFill="1" applyAlignment="1" applyProtection="1">
      <alignment horizontal="left"/>
    </xf>
    <xf numFmtId="165" fontId="20" fillId="11" borderId="3" xfId="3" applyFont="1" applyFill="1" applyProtection="1"/>
    <xf numFmtId="165" fontId="35" fillId="11" borderId="3" xfId="3" applyFont="1" applyFill="1" applyProtection="1"/>
    <xf numFmtId="0" fontId="0" fillId="0" borderId="0" xfId="0" applyAlignment="1">
      <alignment horizontal="center" vertical="center"/>
    </xf>
    <xf numFmtId="165" fontId="35" fillId="0" borderId="0" xfId="3" applyFont="1" applyFill="1" applyBorder="1" applyProtection="1"/>
    <xf numFmtId="164" fontId="18" fillId="7" borderId="1" xfId="2" applyNumberFormat="1" applyFont="1" applyFill="1" applyBorder="1" applyAlignment="1" applyProtection="1">
      <alignment horizontal="right"/>
    </xf>
    <xf numFmtId="168" fontId="4" fillId="13" borderId="4" xfId="8" applyFont="1" applyFill="1" applyAlignment="1" applyProtection="1">
      <alignment horizontal="right"/>
    </xf>
    <xf numFmtId="0" fontId="0" fillId="6" borderId="0" xfId="9" applyFont="1" applyProtection="1"/>
    <xf numFmtId="0" fontId="9" fillId="0" borderId="0" xfId="4" applyProtection="1"/>
    <xf numFmtId="0" fontId="22" fillId="0" borderId="0" xfId="4" applyFont="1" applyBorder="1" applyAlignment="1" applyProtection="1">
      <alignment horizontal="left"/>
    </xf>
    <xf numFmtId="0" fontId="22" fillId="0" borderId="0" xfId="4" applyFont="1" applyProtection="1"/>
    <xf numFmtId="0" fontId="9" fillId="0" borderId="0" xfId="4" applyFill="1" applyBorder="1" applyProtection="1"/>
    <xf numFmtId="0" fontId="0" fillId="0" borderId="0" xfId="0" applyAlignment="1">
      <alignment horizontal="left" wrapText="1"/>
    </xf>
    <xf numFmtId="168" fontId="4" fillId="13" borderId="4" xfId="8" applyFont="1" applyFill="1" applyAlignment="1" applyProtection="1">
      <alignment horizontal="center"/>
    </xf>
    <xf numFmtId="0" fontId="5" fillId="2" borderId="0" xfId="0" applyFont="1" applyFill="1" applyAlignment="1">
      <alignment horizontal="left" vertical="center"/>
    </xf>
    <xf numFmtId="0" fontId="38" fillId="0" borderId="0" xfId="10" applyFont="1" applyAlignment="1" applyProtection="1">
      <alignment vertical="top"/>
    </xf>
    <xf numFmtId="170" fontId="39" fillId="0" borderId="0" xfId="0" applyNumberFormat="1" applyFont="1" applyAlignment="1">
      <alignment horizontal="center"/>
    </xf>
    <xf numFmtId="0" fontId="26" fillId="0" borderId="0" xfId="0" applyFont="1" applyAlignment="1">
      <alignment vertical="top"/>
    </xf>
    <xf numFmtId="168" fontId="4" fillId="6" borderId="0" xfId="9" applyNumberFormat="1" applyFont="1" applyAlignment="1" applyProtection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168" fontId="4" fillId="13" borderId="4" xfId="8" applyFont="1" applyFill="1" applyAlignment="1">
      <alignment horizontal="right"/>
      <protection locked="0"/>
    </xf>
    <xf numFmtId="0" fontId="2" fillId="0" borderId="0" xfId="0" applyFont="1" applyAlignment="1">
      <alignment horizontal="left"/>
    </xf>
    <xf numFmtId="164" fontId="4" fillId="13" borderId="4" xfId="8" applyNumberFormat="1" applyFont="1" applyFill="1" applyAlignment="1">
      <alignment horizontal="right"/>
      <protection locked="0"/>
    </xf>
    <xf numFmtId="0" fontId="7" fillId="0" borderId="0" xfId="0" applyFont="1"/>
    <xf numFmtId="164" fontId="4" fillId="0" borderId="0" xfId="1" applyNumberFormat="1" applyFont="1" applyFill="1" applyBorder="1"/>
    <xf numFmtId="0" fontId="0" fillId="0" borderId="0" xfId="0" applyAlignment="1">
      <alignment horizontal="left" indent="1"/>
    </xf>
    <xf numFmtId="0" fontId="45" fillId="0" borderId="0" xfId="0" applyFont="1"/>
    <xf numFmtId="164" fontId="0" fillId="0" borderId="1" xfId="0" applyNumberFormat="1" applyBorder="1" applyAlignment="1">
      <alignment horizontal="left"/>
    </xf>
    <xf numFmtId="0" fontId="46" fillId="0" borderId="0" xfId="0" applyFont="1"/>
    <xf numFmtId="0" fontId="27" fillId="0" borderId="0" xfId="0" applyFont="1" applyAlignment="1">
      <alignment horizontal="left" indent="1"/>
    </xf>
    <xf numFmtId="43" fontId="0" fillId="0" borderId="1" xfId="0" applyNumberFormat="1" applyBorder="1"/>
    <xf numFmtId="0" fontId="3" fillId="0" borderId="0" xfId="0" applyFont="1" applyAlignment="1">
      <alignment horizontal="left" vertical="center" indent="1"/>
    </xf>
    <xf numFmtId="164" fontId="4" fillId="0" borderId="1" xfId="1" applyNumberFormat="1" applyFont="1" applyBorder="1"/>
    <xf numFmtId="164" fontId="4" fillId="0" borderId="0" xfId="1" applyNumberFormat="1" applyFont="1"/>
    <xf numFmtId="0" fontId="48" fillId="0" borderId="0" xfId="0" applyFont="1"/>
    <xf numFmtId="0" fontId="48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49" fillId="0" borderId="0" xfId="0" applyFont="1"/>
    <xf numFmtId="0" fontId="50" fillId="0" borderId="0" xfId="0" applyFont="1"/>
    <xf numFmtId="0" fontId="28" fillId="0" borderId="0" xfId="0" applyFont="1" applyAlignment="1">
      <alignment horizontal="left" vertical="top"/>
    </xf>
    <xf numFmtId="0" fontId="29" fillId="9" borderId="5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5" fillId="0" borderId="0" xfId="4" applyFont="1" applyAlignment="1">
      <alignment horizontal="left"/>
    </xf>
    <xf numFmtId="0" fontId="2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8" fillId="0" borderId="0" xfId="0" applyFont="1" applyAlignment="1">
      <alignment horizontal="center" vertical="top"/>
    </xf>
    <xf numFmtId="0" fontId="29" fillId="9" borderId="5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11" borderId="3" xfId="3" applyNumberFormat="1" applyFont="1" applyFill="1" applyAlignment="1" applyProtection="1">
      <alignment horizontal="left"/>
    </xf>
    <xf numFmtId="169" fontId="5" fillId="11" borderId="3" xfId="0" applyNumberFormat="1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center" vertical="center"/>
    </xf>
    <xf numFmtId="165" fontId="5" fillId="11" borderId="3" xfId="3" applyFont="1" applyFill="1" applyProtection="1"/>
    <xf numFmtId="0" fontId="5" fillId="11" borderId="3" xfId="3" applyNumberFormat="1" applyFont="1" applyFill="1" applyAlignment="1">
      <alignment horizontal="left"/>
    </xf>
    <xf numFmtId="0" fontId="5" fillId="11" borderId="6" xfId="3" applyNumberFormat="1" applyFont="1" applyFill="1" applyBorder="1" applyAlignment="1">
      <alignment horizontal="left"/>
    </xf>
    <xf numFmtId="169" fontId="5" fillId="11" borderId="6" xfId="0" applyNumberFormat="1" applyFont="1" applyFill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0" fontId="5" fillId="11" borderId="6" xfId="0" applyFont="1" applyFill="1" applyBorder="1" applyAlignment="1">
      <alignment horizontal="center" vertical="center"/>
    </xf>
    <xf numFmtId="0" fontId="2" fillId="12" borderId="0" xfId="4" applyFont="1" applyFill="1" applyAlignment="1">
      <alignment horizontal="left"/>
    </xf>
    <xf numFmtId="0" fontId="52" fillId="12" borderId="0" xfId="4" applyFont="1" applyFill="1" applyAlignment="1">
      <alignment horizontal="left"/>
    </xf>
    <xf numFmtId="0" fontId="2" fillId="12" borderId="0" xfId="4" applyFont="1" applyFill="1"/>
    <xf numFmtId="0" fontId="3" fillId="12" borderId="0" xfId="4" applyFont="1" applyFill="1" applyAlignment="1">
      <alignment horizontal="left"/>
    </xf>
    <xf numFmtId="0" fontId="2" fillId="12" borderId="0" xfId="4" applyFont="1" applyFill="1" applyBorder="1"/>
    <xf numFmtId="0" fontId="2" fillId="12" borderId="0" xfId="4" applyFont="1" applyFill="1" applyAlignment="1">
      <alignment horizontal="center"/>
    </xf>
    <xf numFmtId="0" fontId="2" fillId="12" borderId="0" xfId="4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1">
    <cellStyle name="Accent3" xfId="2" builtinId="37"/>
    <cellStyle name="Blocked" xfId="9" xr:uid="{8B94746D-5A65-4968-AF8E-639625BAB41A}"/>
    <cellStyle name="Check" xfId="7" xr:uid="{B8D28A2D-9BD4-4518-803B-E244AEBC4E6F}"/>
    <cellStyle name="Comma" xfId="1" builtinId="3"/>
    <cellStyle name="Header1" xfId="3" xr:uid="{50B9119B-679B-49DE-8730-83916C516D3E}"/>
    <cellStyle name="Header2" xfId="4" xr:uid="{4B7C0215-A5AF-417A-A01D-FE633097F27B}"/>
    <cellStyle name="Header3" xfId="5" xr:uid="{634ABE19-4F39-4294-BE53-B6BC9A49A53B}"/>
    <cellStyle name="Hyperlink" xfId="10" builtinId="8"/>
    <cellStyle name="InputPercent" xfId="6" xr:uid="{512D0A7C-936C-4B07-9B0F-2E47BF9A1EB1}"/>
    <cellStyle name="InputValue" xfId="8" xr:uid="{695C43F9-BF4E-44F2-90A4-A4F8F9D9CE45}"/>
    <cellStyle name="Normal" xfId="0" builtinId="0"/>
  </cellStyles>
  <dxfs count="0"/>
  <tableStyles count="0" defaultTableStyle="TableStyleMedium2" defaultPivotStyle="PivotStyleLight16"/>
  <colors>
    <mruColors>
      <color rgb="FFD0CECE"/>
      <color rgb="FF198D7D"/>
      <color rgb="FFFF4136"/>
      <color rgb="FF203764"/>
      <color rgb="FFFF9900"/>
      <color rgb="FF0033CC"/>
      <color rgb="FFFFFF00"/>
      <color rgb="FF5F5F5F"/>
      <color rgb="FF198E7D"/>
      <color rgb="FF2E2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/>
            </a:pPr>
            <a:r>
              <a:rPr lang="en-AU" sz="1050"/>
              <a:t>Payment by Quarter and net</a:t>
            </a:r>
            <a:r>
              <a:rPr lang="en-AU" sz="1050" baseline="0"/>
              <a:t> annual payment (positive values are payable to Project Operator)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32639155159909"/>
          <c:y val="9.7167177823586373E-2"/>
          <c:w val="0.8456150822065257"/>
          <c:h val="0.75874194918743176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198D7D"/>
            </a:solidFill>
            <a:ln w="9525">
              <a:noFill/>
              <a:prstDash val="sysDash"/>
            </a:ln>
          </c:spPr>
          <c:invertIfNegative val="1"/>
          <c:dPt>
            <c:idx val="4"/>
            <c:invertIfNegative val="1"/>
            <c:bubble3D val="0"/>
            <c:spPr>
              <a:solidFill>
                <a:srgbClr val="198D7D"/>
              </a:solidFill>
              <a:ln w="9525">
                <a:noFill/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2-4493-4D95-BD5E-5B3ACD07206B}"/>
              </c:ext>
            </c:extLst>
          </c:dPt>
          <c:dLbls>
            <c:dLbl>
              <c:idx val="4"/>
              <c:tx>
                <c:rich>
                  <a:bodyPr/>
                  <a:lstStyle/>
                  <a:p>
                    <a:fld id="{890BCA19-03E1-49F4-B0A6-DD7FB25A3FBD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AU"/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493-4D95-BD5E-5B3ACD07206B}"/>
                </c:ext>
              </c:extLst>
            </c:dLbl>
            <c:numFmt formatCode="#,##0.00_);\(#,##0.00\);\-_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Graph!$D$28:$D$32</c:f>
              <c:strCache>
                <c:ptCount val="5"/>
                <c:pt idx="0">
                  <c:v>Quarter 1</c:v>
                </c:pt>
                <c:pt idx="1">
                  <c:v>Quarter 2</c:v>
                </c:pt>
                <c:pt idx="2">
                  <c:v>Quarter 3</c:v>
                </c:pt>
                <c:pt idx="3">
                  <c:v>Annual Adjustment Amount</c:v>
                </c:pt>
                <c:pt idx="4">
                  <c:v>Net annual payments</c:v>
                </c:pt>
              </c:strCache>
            </c:strRef>
          </c:cat>
          <c:val>
            <c:numRef>
              <c:f>Graph!$E$28:$E$32</c:f>
              <c:numCache>
                <c:formatCode>_-* #,##0_-;\-* #,##0_-;_-* "-"??_-;_-@_-</c:formatCode>
                <c:ptCount val="5"/>
                <c:pt idx="0">
                  <c:v>810000</c:v>
                </c:pt>
                <c:pt idx="1">
                  <c:v>900000</c:v>
                </c:pt>
                <c:pt idx="2">
                  <c:v>-600000</c:v>
                </c:pt>
                <c:pt idx="3">
                  <c:v>-1110000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D0CECE"/>
                  </a:solidFill>
                  <a:ln w="9525">
                    <a:noFill/>
                    <a:prstDash val="sysDash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11CD-4268-9BE2-B15C57C933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679006975"/>
        <c:axId val="1673089791"/>
      </c:barChart>
      <c:scatterChart>
        <c:scatterStyle val="smoothMarker"/>
        <c:varyColors val="0"/>
        <c:ser>
          <c:idx val="1"/>
          <c:order val="1"/>
          <c:tx>
            <c:v>origin</c:v>
          </c:tx>
          <c:spPr>
            <a:ln>
              <a:prstDash val="sysDash"/>
            </a:ln>
          </c:spPr>
          <c:marker>
            <c:symbol val="diamond"/>
            <c:size val="4"/>
            <c:spPr>
              <a:solidFill>
                <a:schemeClr val="accent1"/>
              </a:solidFill>
              <a:ln>
                <a:noFill/>
              </a:ln>
            </c:spPr>
          </c:marker>
          <c:dPt>
            <c:idx val="1"/>
            <c:bubble3D val="0"/>
            <c:spPr>
              <a:ln w="9525">
                <a:solidFill>
                  <a:schemeClr val="tx1"/>
                </a:solidFill>
                <a:prstDash val="sysDash"/>
              </a:ln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4493-4D95-BD5E-5B3ACD07206B}"/>
              </c:ext>
            </c:extLst>
          </c:dPt>
          <c:dLbls>
            <c:delete val="1"/>
          </c:dLbls>
          <c:xVal>
            <c:numLit>
              <c:formatCode>General</c:formatCode>
              <c:ptCount val="2"/>
              <c:pt idx="0">
                <c:v>0.5</c:v>
              </c:pt>
              <c:pt idx="1">
                <c:v>5.5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1-4493-4D95-BD5E-5B3ACD0720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679006975"/>
        <c:axId val="1673089791"/>
        <c:extLst/>
      </c:scatterChart>
      <c:catAx>
        <c:axId val="167900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rgbClr val="2E2E38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/>
          <a:lstStyle/>
          <a:p>
            <a:pPr>
              <a:defRPr sz="1000"/>
            </a:pPr>
            <a:endParaRPr lang="en-US"/>
          </a:p>
        </c:txPr>
        <c:crossAx val="1673089791"/>
        <c:crosses val="autoZero"/>
        <c:auto val="1"/>
        <c:lblAlgn val="ctr"/>
        <c:lblOffset val="100"/>
        <c:noMultiLvlLbl val="0"/>
      </c:catAx>
      <c:valAx>
        <c:axId val="167308979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en-AU" sz="1000" b="0"/>
                  <a:t>Payment ($ millions)</a:t>
                </a:r>
              </a:p>
            </c:rich>
          </c:tx>
          <c:overlay val="0"/>
        </c:title>
        <c:numFmt formatCode="#,##0.00_);\(#,##0.00\);\-_)" sourceLinked="0"/>
        <c:majorTickMark val="none"/>
        <c:minorTickMark val="none"/>
        <c:tickLblPos val="nextTo"/>
        <c:spPr>
          <a:noFill/>
          <a:ln w="9525">
            <a:solidFill>
              <a:srgbClr val="2E2E38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79006975"/>
        <c:crosses val="autoZero"/>
        <c:crossBetween val="between"/>
        <c:dispUnits>
          <c:builtInUnit val="millions"/>
        </c:dispUnits>
      </c:valAx>
      <c:spPr>
        <a:noFill/>
        <a:ln w="25400">
          <a:noFill/>
        </a:ln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>
      <a:solidFill>
        <a:schemeClr val="bg2">
          <a:lumMod val="90000"/>
        </a:schemeClr>
      </a:solidFill>
    </a:ln>
  </c:spPr>
  <c:txPr>
    <a:bodyPr/>
    <a:lstStyle/>
    <a:p>
      <a:pPr>
        <a:defRPr sz="800">
          <a:solidFill>
            <a:sysClr val="windowText" lastClr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r>
              <a:rPr lang="en-US" sz="1050" b="1"/>
              <a:t>Net Operational Revenue compared</a:t>
            </a:r>
            <a:r>
              <a:rPr lang="en-US" sz="1050" b="1" baseline="0"/>
              <a:t> with Revenue </a:t>
            </a:r>
            <a:r>
              <a:rPr lang="en-US" sz="1050" b="1"/>
              <a:t>Floor and Revenue Ceiling, on Quarterly</a:t>
            </a:r>
            <a:r>
              <a:rPr lang="en-US" sz="1050" b="1" baseline="0"/>
              <a:t> basis</a:t>
            </a:r>
            <a:endParaRPr lang="en-US" sz="1050" b="1"/>
          </a:p>
        </c:rich>
      </c:tx>
      <c:layout>
        <c:manualLayout>
          <c:xMode val="edge"/>
          <c:yMode val="edge"/>
          <c:x val="0.16998304899387576"/>
          <c:y val="2.257291572007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939148774901548E-2"/>
          <c:y val="0.11126232111606479"/>
          <c:w val="0.68060637018240544"/>
          <c:h val="0.75610102762578402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Graph!$G$12</c:f>
              <c:strCache>
                <c:ptCount val="1"/>
                <c:pt idx="0">
                  <c:v>Quarterly Net Operational Revenue</c:v>
                </c:pt>
              </c:strCache>
            </c:strRef>
          </c:tx>
          <c:spPr>
            <a:solidFill>
              <a:srgbClr val="D0CECE"/>
            </a:solidFill>
            <a:ln>
              <a:noFill/>
            </a:ln>
            <a:effectLst/>
          </c:spPr>
          <c:invertIfNegative val="0"/>
          <c:dLbls>
            <c:numFmt formatCode="#,##0.00_);\(#,##0.00\);\-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Graph!$D$13:$D$16</c:f>
              <c:strCache>
                <c:ptCount val="4"/>
                <c:pt idx="0">
                  <c:v>Quarter 1</c:v>
                </c:pt>
                <c:pt idx="1">
                  <c:v>Quarter 2</c:v>
                </c:pt>
                <c:pt idx="2">
                  <c:v>Quarter 3</c:v>
                </c:pt>
                <c:pt idx="3">
                  <c:v>Quarter 4</c:v>
                </c:pt>
              </c:strCache>
            </c:strRef>
          </c:cat>
          <c:val>
            <c:numRef>
              <c:f>Graph!$G$13:$G$16</c:f>
              <c:numCache>
                <c:formatCode>_-* #,##0_-;\-* #,##0_-;_-* "-"??_-;_-@_-</c:formatCode>
                <c:ptCount val="4"/>
                <c:pt idx="0">
                  <c:v>1500000</c:v>
                </c:pt>
                <c:pt idx="1">
                  <c:v>1000000</c:v>
                </c:pt>
                <c:pt idx="2">
                  <c:v>6000000</c:v>
                </c:pt>
                <c:pt idx="3">
                  <c:v>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6-4C0C-8905-12E0A602C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57175727"/>
        <c:axId val="1184408943"/>
      </c:barChart>
      <c:scatterChart>
        <c:scatterStyle val="lineMarker"/>
        <c:varyColors val="0"/>
        <c:ser>
          <c:idx val="0"/>
          <c:order val="0"/>
          <c:tx>
            <c:strRef>
              <c:f>Graph!$E$12</c:f>
              <c:strCache>
                <c:ptCount val="1"/>
                <c:pt idx="0">
                  <c:v>Quarterly Revenue Floor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203764"/>
              </a:solidFill>
              <a:ln w="15875">
                <a:solidFill>
                  <a:srgbClr val="203764"/>
                </a:solidFill>
              </a:ln>
              <a:effectLst/>
            </c:spPr>
          </c:marker>
          <c:xVal>
            <c:strRef>
              <c:f>Graph!$D$13:$D$16</c:f>
              <c:strCache>
                <c:ptCount val="4"/>
                <c:pt idx="0">
                  <c:v>Quarter 1</c:v>
                </c:pt>
                <c:pt idx="1">
                  <c:v>Quarter 2</c:v>
                </c:pt>
                <c:pt idx="2">
                  <c:v>Quarter 3</c:v>
                </c:pt>
                <c:pt idx="3">
                  <c:v>Quarter 4</c:v>
                </c:pt>
              </c:strCache>
            </c:strRef>
          </c:xVal>
          <c:yVal>
            <c:numRef>
              <c:f>Graph!$E$13:$E$16</c:f>
              <c:numCache>
                <c:formatCode>_-* #,##0_-;\-* #,##0_-;_-* "-"??_-;_-@_-</c:formatCode>
                <c:ptCount val="4"/>
                <c:pt idx="0">
                  <c:v>2400000</c:v>
                </c:pt>
                <c:pt idx="1">
                  <c:v>2000000</c:v>
                </c:pt>
                <c:pt idx="2">
                  <c:v>2400000</c:v>
                </c:pt>
                <c:pt idx="3">
                  <c:v>4000000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86-4C0C-8905-12E0A602C697}"/>
            </c:ext>
          </c:extLst>
        </c:ser>
        <c:ser>
          <c:idx val="1"/>
          <c:order val="1"/>
          <c:tx>
            <c:strRef>
              <c:f>Graph!$F$12</c:f>
              <c:strCache>
                <c:ptCount val="1"/>
                <c:pt idx="0">
                  <c:v>Quarterly Revenue Ceiling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rgbClr val="198D7D"/>
                </a:solidFill>
              </a:ln>
              <a:effectLst/>
            </c:spPr>
          </c:marker>
          <c:xVal>
            <c:strRef>
              <c:f>Graph!$D$13:$D$16</c:f>
              <c:strCache>
                <c:ptCount val="4"/>
                <c:pt idx="0">
                  <c:v>Quarter 1</c:v>
                </c:pt>
                <c:pt idx="1">
                  <c:v>Quarter 2</c:v>
                </c:pt>
                <c:pt idx="2">
                  <c:v>Quarter 3</c:v>
                </c:pt>
                <c:pt idx="3">
                  <c:v>Quarter 4</c:v>
                </c:pt>
              </c:strCache>
            </c:strRef>
          </c:xVal>
          <c:yVal>
            <c:numRef>
              <c:f>Graph!$F$13:$F$16</c:f>
              <c:numCache>
                <c:formatCode>_-* #,##0_-;\-* #,##0_-;_-* "-"??_-;_-@_-</c:formatCode>
                <c:ptCount val="4"/>
                <c:pt idx="0">
                  <c:v>4800000</c:v>
                </c:pt>
                <c:pt idx="1">
                  <c:v>4000000</c:v>
                </c:pt>
                <c:pt idx="2">
                  <c:v>4800000</c:v>
                </c:pt>
                <c:pt idx="3">
                  <c:v>8000000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C86-4C0C-8905-12E0A602C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7175727"/>
        <c:axId val="1184408943"/>
      </c:scatterChart>
      <c:catAx>
        <c:axId val="105717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184408943"/>
        <c:crosses val="autoZero"/>
        <c:auto val="1"/>
        <c:lblAlgn val="ctr"/>
        <c:lblOffset val="100"/>
        <c:noMultiLvlLbl val="0"/>
      </c:catAx>
      <c:valAx>
        <c:axId val="11844089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AU" sz="1000"/>
                  <a:t>$ millions</a:t>
                </a:r>
              </a:p>
            </c:rich>
          </c:tx>
          <c:overlay val="0"/>
          <c:spPr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FFFFFF">
                      <a:alpha val="0"/>
                    </a:srgbClr>
                  </a:solidFill>
                </a14:hiddenFill>
              </a:ext>
            </a:extLst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0_);\(#,##0.00\);0_)" sourceLinked="0"/>
        <c:majorTickMark val="none"/>
        <c:minorTickMark val="none"/>
        <c:tickLblPos val="nextTo"/>
        <c:spPr>
          <a:noFill/>
          <a:ln w="9525">
            <a:solidFill>
              <a:srgbClr val="2E2E38"/>
            </a:solidFill>
            <a:prstDash val="soli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 algn="ctr"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057175727"/>
        <c:crosses val="autoZero"/>
        <c:crossBetween val="between"/>
        <c:minorUnit val="500000"/>
        <c:dispUnits>
          <c:builtInUnit val="millions"/>
        </c:dispUnits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8345153157903413"/>
          <c:y val="0.4620890274522389"/>
          <c:w val="0.20399265105702846"/>
          <c:h val="0.30778958965353664"/>
        </c:manualLayout>
      </c:layout>
      <c:overlay val="0"/>
      <c:spPr>
        <a:solidFill>
          <a:srgbClr val="FFFFFF">
            <a:alpha val="0"/>
          </a:srgbClr>
        </a:solidFill>
        <a:ln w="6350">
          <a:noFill/>
          <a:prstDash val="sysDot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3175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/>
            </a:pPr>
            <a:r>
              <a:rPr lang="en-AU" sz="1050"/>
              <a:t>Annual Adjustment</a:t>
            </a:r>
            <a:r>
              <a:rPr lang="en-AU" sz="1050" baseline="0"/>
              <a:t> Amounts (positive values are payable to Project Operator)</a:t>
            </a:r>
            <a:endParaRPr lang="en-AU" sz="105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198D7D"/>
            </a:solidFill>
            <a:ln w="9525">
              <a:noFill/>
              <a:prstDash val="sysDash"/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C90-4BA6-AD3E-45298C8B3DBA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C90-4BA6-AD3E-45298C8B3DBA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C90-4BA6-AD3E-45298C8B3DBA}"/>
              </c:ext>
            </c:extLst>
          </c:dPt>
          <c:dPt>
            <c:idx val="3"/>
            <c:invertIfNegative val="1"/>
            <c:bubble3D val="0"/>
            <c:spPr>
              <a:solidFill>
                <a:srgbClr val="198D7D"/>
              </a:solidFill>
              <a:ln w="9525">
                <a:noFill/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DC90-4BA6-AD3E-45298C8B3DBA}"/>
              </c:ext>
            </c:extLst>
          </c:dPt>
          <c:dLbls>
            <c:numFmt formatCode="#,##0.00_);\(#,##0.00\);\-_)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Graph!$D$21:$D$24</c:f>
              <c:strCache>
                <c:ptCount val="4"/>
                <c:pt idx="0">
                  <c:v>Sum of Quarterly Payment Amounts payable by the Commonwealth</c:v>
                </c:pt>
                <c:pt idx="1">
                  <c:v>Sum of Quarterly Payment Amounts payable by the Project Operator</c:v>
                </c:pt>
                <c:pt idx="2">
                  <c:v>Annual Adjustment Amount</c:v>
                </c:pt>
                <c:pt idx="3">
                  <c:v>Net annual payments</c:v>
                </c:pt>
              </c:strCache>
            </c:strRef>
          </c:cat>
          <c:val>
            <c:numRef>
              <c:f>Graph!$E$21:$E$24</c:f>
              <c:numCache>
                <c:formatCode>_-* #,##0_-;\-* #,##0_-;_-* "-"??_-;_-@_-</c:formatCode>
                <c:ptCount val="4"/>
                <c:pt idx="0">
                  <c:v>1710000</c:v>
                </c:pt>
                <c:pt idx="1">
                  <c:v>-600000</c:v>
                </c:pt>
                <c:pt idx="2">
                  <c:v>-1110000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D0CECE"/>
                  </a:solidFill>
                  <a:ln w="9525">
                    <a:noFill/>
                    <a:prstDash val="sysDash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DC90-4BA6-AD3E-45298C8B3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79007903"/>
        <c:axId val="1674998351"/>
      </c:barChart>
      <c:scatterChart>
        <c:scatterStyle val="smoothMarker"/>
        <c:varyColors val="0"/>
        <c:ser>
          <c:idx val="1"/>
          <c:order val="1"/>
          <c:spPr>
            <a:ln w="952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5.5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v>origin</c:v>
                </c15:tx>
              </c15:filteredSeriesTitle>
            </c:ext>
            <c:ext xmlns:c16="http://schemas.microsoft.com/office/drawing/2014/chart" uri="{C3380CC4-5D6E-409C-BE32-E72D297353CC}">
              <c16:uniqueId val="{00000006-DC90-4BA6-AD3E-45298C8B3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007903"/>
        <c:axId val="1674998351"/>
      </c:scatterChart>
      <c:catAx>
        <c:axId val="167900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rgbClr val="2E2E38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/>
          <a:lstStyle/>
          <a:p>
            <a:pPr>
              <a:defRPr sz="1000" b="0" i="0" u="none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4998351"/>
        <c:crosses val="autoZero"/>
        <c:auto val="1"/>
        <c:lblAlgn val="ctr"/>
        <c:lblOffset val="100"/>
        <c:noMultiLvlLbl val="0"/>
      </c:catAx>
      <c:valAx>
        <c:axId val="167499835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en-AU" sz="1000" b="0">
                    <a:solidFill>
                      <a:srgbClr val="2E2E38"/>
                    </a:solidFill>
                  </a:rPr>
                  <a:t>Payment ($ millions)</a:t>
                </a:r>
              </a:p>
            </c:rich>
          </c:tx>
          <c:overlay val="0"/>
        </c:title>
        <c:numFmt formatCode="#,##0.00_);\(#,##0.00\);0_)" sourceLinked="0"/>
        <c:majorTickMark val="none"/>
        <c:minorTickMark val="none"/>
        <c:tickLblPos val="nextTo"/>
        <c:spPr>
          <a:noFill/>
          <a:ln w="9525">
            <a:solidFill>
              <a:srgbClr val="2E2E38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/>
          <a:lstStyle/>
          <a:p>
            <a:pPr>
              <a:defRPr sz="800" b="0" i="0" u="none">
                <a:solidFill>
                  <a:srgbClr val="2E2E38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9007903"/>
        <c:crosses val="autoZero"/>
        <c:crossBetween val="between"/>
        <c:dispUnits>
          <c:builtInUnit val="millions"/>
        </c:dispUnits>
      </c:valAx>
      <c:spPr>
        <a:noFill/>
        <a:ln w="25400">
          <a:noFill/>
        </a:ln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>
      <a:solidFill>
        <a:schemeClr val="bg2">
          <a:lumMod val="90000"/>
        </a:schemeClr>
      </a:solidFill>
    </a:ln>
  </c:spPr>
  <c:txPr>
    <a:bodyPr/>
    <a:lstStyle/>
    <a:p>
      <a:pPr>
        <a:defRPr sz="800"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r>
              <a:rPr lang="en-US" sz="1050" b="1"/>
              <a:t>Net Operational Revenue compared</a:t>
            </a:r>
            <a:r>
              <a:rPr lang="en-US" sz="1050" b="1" baseline="0"/>
              <a:t> with Revenue </a:t>
            </a:r>
            <a:r>
              <a:rPr lang="en-US" sz="1050" b="1"/>
              <a:t>Floor and Revenue Ceiling, on Annual </a:t>
            </a:r>
            <a:r>
              <a:rPr lang="en-US" sz="1050" b="1" baseline="0"/>
              <a:t>basis</a:t>
            </a:r>
            <a:endParaRPr lang="en-US" sz="1050" b="1"/>
          </a:p>
        </c:rich>
      </c:tx>
      <c:layout>
        <c:manualLayout>
          <c:xMode val="edge"/>
          <c:yMode val="edge"/>
          <c:x val="0.16998304899387576"/>
          <c:y val="2.257291572007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939148774901548E-2"/>
          <c:y val="0.10491400024693469"/>
          <c:w val="0.68060637018240544"/>
          <c:h val="0.756101027625784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Graph!$D$36</c:f>
              <c:strCache>
                <c:ptCount val="1"/>
                <c:pt idx="0">
                  <c:v>Annual Net Operational Revenue</c:v>
                </c:pt>
              </c:strCache>
            </c:strRef>
          </c:tx>
          <c:spPr>
            <a:solidFill>
              <a:srgbClr val="D0CECE"/>
            </a:solidFill>
            <a:ln>
              <a:noFill/>
            </a:ln>
            <a:effectLst/>
          </c:spPr>
          <c:invertIfNegative val="0"/>
          <c:dLbls>
            <c:numFmt formatCode="#,##0.00_);\(#,##0.00\);\-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Annual amounts</c:v>
              </c:pt>
            </c:strLit>
          </c:cat>
          <c:val>
            <c:numRef>
              <c:f>Graph!$E$36</c:f>
              <c:numCache>
                <c:formatCode>_-* #,##0_-;\-* #,##0_-;_-* "-"??_-;_-@_-</c:formatCode>
                <c:ptCount val="1"/>
                <c:pt idx="0">
                  <c:v>12500000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87-42C1-81B6-C38E05181F4A}"/>
            </c:ext>
          </c:extLst>
        </c:ser>
        <c:ser>
          <c:idx val="3"/>
          <c:order val="3"/>
          <c:tx>
            <c:strRef>
              <c:f>Graph!$D$39</c:f>
              <c:strCache>
                <c:ptCount val="1"/>
                <c:pt idx="0">
                  <c:v>Net annual payments</c:v>
                </c:pt>
              </c:strCache>
            </c:strRef>
          </c:tx>
          <c:spPr>
            <a:solidFill>
              <a:srgbClr val="198D7D"/>
            </a:solidFill>
            <a:ln>
              <a:noFill/>
            </a:ln>
            <a:effectLst/>
          </c:spPr>
          <c:invertIfNegative val="0"/>
          <c:dLbls>
            <c:numFmt formatCode="#,##0.00_);\(#,##0.00\);\-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Annual amounts</c:v>
              </c:pt>
            </c:strLit>
          </c:cat>
          <c:val>
            <c:numRef>
              <c:f>Graph!$E$39</c:f>
              <c:numCache>
                <c:formatCode>_-* #,##0_-;\-* #,##0_-;_-* "-"??_-;_-@_-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87-42C1-81B6-C38E05181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057175727"/>
        <c:axId val="1184408943"/>
      </c:barChart>
      <c:scatterChart>
        <c:scatterStyle val="lineMarker"/>
        <c:varyColors val="0"/>
        <c:ser>
          <c:idx val="1"/>
          <c:order val="1"/>
          <c:tx>
            <c:strRef>
              <c:f>Graph!$D$37</c:f>
              <c:strCache>
                <c:ptCount val="1"/>
                <c:pt idx="0">
                  <c:v>Annual Revenue Floor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203764"/>
              </a:solidFill>
              <a:ln w="9525">
                <a:noFill/>
              </a:ln>
              <a:effectLst/>
            </c:spPr>
          </c:marker>
          <c:yVal>
            <c:numRef>
              <c:f>Graph!$E$37</c:f>
              <c:numCache>
                <c:formatCode>_-* #,##0_-;\-* #,##0_-;_-* "-"??_-;_-@_-</c:formatCode>
                <c:ptCount val="1"/>
                <c:pt idx="0">
                  <c:v>10800000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887-42C1-81B6-C38E05181F4A}"/>
            </c:ext>
          </c:extLst>
        </c:ser>
        <c:ser>
          <c:idx val="2"/>
          <c:order val="2"/>
          <c:tx>
            <c:strRef>
              <c:f>Graph!$D$38</c:f>
              <c:strCache>
                <c:ptCount val="1"/>
                <c:pt idx="0">
                  <c:v>Annual Revenue Ceiling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rgbClr val="198D7D"/>
                </a:solidFill>
              </a:ln>
              <a:effectLst/>
            </c:spPr>
          </c:marker>
          <c:yVal>
            <c:numRef>
              <c:f>Graph!$E$38</c:f>
              <c:numCache>
                <c:formatCode>_-* #,##0_-;\-* #,##0_-;_-* "-"??_-;_-@_-</c:formatCode>
                <c:ptCount val="1"/>
                <c:pt idx="0">
                  <c:v>21600000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887-42C1-81B6-C38E05181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7175727"/>
        <c:axId val="1184408943"/>
      </c:scatterChart>
      <c:catAx>
        <c:axId val="105717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184408943"/>
        <c:crosses val="autoZero"/>
        <c:auto val="1"/>
        <c:lblAlgn val="ctr"/>
        <c:lblOffset val="100"/>
        <c:noMultiLvlLbl val="0"/>
      </c:catAx>
      <c:valAx>
        <c:axId val="11844089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AU" sz="1000"/>
                  <a:t>$ millions</a:t>
                </a:r>
              </a:p>
            </c:rich>
          </c:tx>
          <c:overlay val="0"/>
          <c:spPr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FFFFFF">
                      <a:alpha val="0"/>
                    </a:srgbClr>
                  </a:solidFill>
                </a14:hiddenFill>
              </a:ext>
            </a:extLst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0_);\(#,##0.00\);0_)" sourceLinked="0"/>
        <c:majorTickMark val="none"/>
        <c:minorTickMark val="none"/>
        <c:tickLblPos val="nextTo"/>
        <c:spPr>
          <a:noFill/>
          <a:ln w="9525">
            <a:solidFill>
              <a:srgbClr val="2E2E38"/>
            </a:solidFill>
            <a:prstDash val="soli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 algn="ctr"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057175727"/>
        <c:crosses val="autoZero"/>
        <c:crossBetween val="between"/>
        <c:minorUnit val="500000"/>
        <c:dispUnits>
          <c:builtInUnit val="millions"/>
        </c:dispUnits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457840794872217"/>
          <c:y val="0.40495413963006782"/>
          <c:w val="0.24375273937616371"/>
          <c:h val="0.31994937339073815"/>
        </c:manualLayout>
      </c:layout>
      <c:overlay val="0"/>
      <c:spPr>
        <a:noFill/>
        <a:ln w="3175">
          <a:noFill/>
          <a:prstDash val="sysDot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3175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Payment</a:t>
            </a:r>
            <a:r>
              <a:rPr lang="en-AU" baseline="0"/>
              <a:t> by Quarter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Intermediary Results</c:v>
          </c:tx>
          <c:invertIfNegative val="0"/>
          <c:cat>
            <c:strRef>
              <c:f>Graph!$D$28:$D$32</c:f>
              <c:strCache>
                <c:ptCount val="5"/>
                <c:pt idx="0">
                  <c:v>Quarter 1</c:v>
                </c:pt>
                <c:pt idx="1">
                  <c:v>Quarter 2</c:v>
                </c:pt>
                <c:pt idx="2">
                  <c:v>Quarter 3</c:v>
                </c:pt>
                <c:pt idx="3">
                  <c:v>Annual Adjustment Amount</c:v>
                </c:pt>
                <c:pt idx="4">
                  <c:v>Net annual payments</c:v>
                </c:pt>
              </c:strCache>
            </c:strRef>
          </c:cat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9-431E-BEC4-131D64167340}"/>
            </c:ext>
          </c:extLst>
        </c:ser>
        <c:ser>
          <c:idx val="1"/>
          <c:order val="1"/>
          <c:tx>
            <c:v>Supporting Values</c:v>
          </c:tx>
          <c:invertIfNegative val="0"/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9-431E-BEC4-131D64167340}"/>
            </c:ext>
          </c:extLst>
        </c:ser>
        <c:ser>
          <c:idx val="2"/>
          <c:order val="2"/>
          <c:tx>
            <c:v>Positive Variations above x-Axis</c:v>
          </c:tx>
          <c:invertIfNegative val="0"/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69-431E-BEC4-131D64167340}"/>
            </c:ext>
          </c:extLst>
        </c:ser>
        <c:ser>
          <c:idx val="3"/>
          <c:order val="3"/>
          <c:tx>
            <c:v>Positive Variations below x-Axis</c:v>
          </c:tx>
          <c:invertIfNegative val="0"/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69-431E-BEC4-131D64167340}"/>
            </c:ext>
          </c:extLst>
        </c:ser>
        <c:ser>
          <c:idx val="4"/>
          <c:order val="4"/>
          <c:tx>
            <c:v>Negative Variations above x-Axis</c:v>
          </c:tx>
          <c:invertIfNegative val="0"/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69-431E-BEC4-131D64167340}"/>
            </c:ext>
          </c:extLst>
        </c:ser>
        <c:ser>
          <c:idx val="5"/>
          <c:order val="5"/>
          <c:tx>
            <c:v>Negative Variations below x-Axis</c:v>
          </c:tx>
          <c:invertIfNegative val="0"/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69-431E-BEC4-131D64167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679006975"/>
        <c:axId val="1673089791"/>
      </c:barChart>
      <c:lineChart>
        <c:grouping val="standard"/>
        <c:varyColors val="0"/>
        <c:ser>
          <c:idx val="10"/>
          <c:order val="10"/>
          <c:tx>
            <c:v>X-Axis</c:v>
          </c:tx>
          <c:spPr>
            <a:ln w="3175">
              <a:solidFill>
                <a:srgbClr val="2E2E38"/>
              </a:solidFill>
              <a:prstDash val="lgDash"/>
            </a:ln>
          </c:spPr>
          <c:marker>
            <c:symbol val="none"/>
          </c:marker>
          <c:cat>
            <c:numLit>
              <c:formatCode>General</c:formatCode>
              <c:ptCount val="2"/>
              <c:pt idx="0">
                <c:v>-1</c:v>
              </c:pt>
              <c:pt idx="1">
                <c:v>1</c:v>
              </c:pt>
            </c:num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FC69-431E-BEC4-131D64167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894687"/>
        <c:axId val="1673080671"/>
      </c:lineChart>
      <c:scatterChart>
        <c:scatterStyle val="lineMarker"/>
        <c:varyColors val="0"/>
        <c:ser>
          <c:idx val="6"/>
          <c:order val="6"/>
          <c:tx>
            <c:v>Label Position</c:v>
          </c:tx>
          <c:spPr>
            <a:ln w="19050">
              <a:noFill/>
            </a:ln>
          </c:spPr>
          <c:marker>
            <c:symbol val="none"/>
          </c:marker>
          <c:y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C69-431E-BEC4-131D64167340}"/>
            </c:ext>
          </c:extLst>
        </c:ser>
        <c:ser>
          <c:idx val="7"/>
          <c:order val="7"/>
          <c:tx>
            <c:v>Label above Positions</c:v>
          </c:tx>
          <c:spPr>
            <a:ln w="19050">
              <a:noFill/>
            </a:ln>
          </c:spPr>
          <c:marker>
            <c:symbol val="none"/>
          </c:marker>
          <c:y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C69-431E-BEC4-131D64167340}"/>
            </c:ext>
          </c:extLst>
        </c:ser>
        <c:ser>
          <c:idx val="8"/>
          <c:order val="8"/>
          <c:tx>
            <c:v>Label below Positions</c:v>
          </c:tx>
          <c:spPr>
            <a:ln w="19050">
              <a:noFill/>
            </a:ln>
          </c:spPr>
          <c:marker>
            <c:symbol val="none"/>
          </c:marker>
          <c:y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C69-431E-BEC4-131D64167340}"/>
            </c:ext>
          </c:extLst>
        </c:ser>
        <c:ser>
          <c:idx val="9"/>
          <c:order val="9"/>
          <c:tx>
            <c:v>Label position for negative effects inside bars</c:v>
          </c:tx>
          <c:spPr>
            <a:ln w="19050">
              <a:noFill/>
            </a:ln>
          </c:spPr>
          <c:marker>
            <c:symbol val="none"/>
          </c:marker>
          <c:y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C69-431E-BEC4-131D64167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006975"/>
        <c:axId val="1673089791"/>
      </c:scatterChart>
      <c:catAx>
        <c:axId val="167900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rgbClr val="2E2E38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/>
          <a:lstStyle/>
          <a:p>
            <a:pPr>
              <a:defRPr sz="800" b="0" i="0" u="none">
                <a:solidFill>
                  <a:srgbClr val="2E2E38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3089791"/>
        <c:crossesAt val="-1E+18"/>
        <c:auto val="1"/>
        <c:lblAlgn val="ctr"/>
        <c:lblOffset val="100"/>
        <c:noMultiLvlLbl val="0"/>
      </c:catAx>
      <c:valAx>
        <c:axId val="1673089791"/>
        <c:scaling>
          <c:orientation val="minMax"/>
        </c:scaling>
        <c:delete val="0"/>
        <c:axPos val="l"/>
        <c:numFmt formatCode="#,##0_);\(#,##0\);&quot; - &quot;_)" sourceLinked="0"/>
        <c:majorTickMark val="none"/>
        <c:minorTickMark val="none"/>
        <c:tickLblPos val="nextTo"/>
        <c:spPr>
          <a:noFill/>
          <a:ln w="9525">
            <a:solidFill>
              <a:srgbClr val="2E2E38"/>
            </a:solidFill>
            <a:prstDash val="soli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/>
          <a:lstStyle/>
          <a:p>
            <a:pPr>
              <a:defRPr sz="800" b="0" i="0" u="none">
                <a:solidFill>
                  <a:srgbClr val="2E2E38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9006975"/>
        <c:crosses val="autoZero"/>
        <c:crossBetween val="between"/>
      </c:valAx>
      <c:valAx>
        <c:axId val="167308067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78894687"/>
        <c:crosses val="min"/>
        <c:crossBetween val="midCat"/>
      </c:valAx>
      <c:catAx>
        <c:axId val="1678894687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crossAx val="1673080671"/>
        <c:crosses val="max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>
      <a:solidFill>
        <a:schemeClr val="bg2">
          <a:lumMod val="90000"/>
        </a:schemeClr>
      </a:solidFill>
    </a:ln>
  </c:spPr>
  <c:txPr>
    <a:bodyPr/>
    <a:lstStyle/>
    <a:p>
      <a:pPr>
        <a:defRPr sz="800"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Calculations!A1"/><Relationship Id="rId1" Type="http://schemas.openxmlformats.org/officeDocument/2006/relationships/hyperlink" Target="#'Input | Output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Input | Outputs'!H64"/><Relationship Id="rId3" Type="http://schemas.openxmlformats.org/officeDocument/2006/relationships/chart" Target="../charts/chart3.xml"/><Relationship Id="rId7" Type="http://schemas.openxmlformats.org/officeDocument/2006/relationships/image" Target="../media/image5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hyperlink" Target="#'Input | Outputs'!H38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7023</xdr:colOff>
      <xdr:row>4</xdr:row>
      <xdr:rowOff>15683</xdr:rowOff>
    </xdr:from>
    <xdr:to>
      <xdr:col>14</xdr:col>
      <xdr:colOff>74968</xdr:colOff>
      <xdr:row>27</xdr:row>
      <xdr:rowOff>20816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EBC6BD-4879-8C03-6D18-EA3C80988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96" y="777683"/>
          <a:ext cx="7436831" cy="4176044"/>
        </a:xfrm>
        <a:prstGeom prst="rect">
          <a:avLst/>
        </a:prstGeom>
      </xdr:spPr>
    </xdr:pic>
    <xdr:clientData/>
  </xdr:twoCellAnchor>
  <xdr:twoCellAnchor editAs="oneCell">
    <xdr:from>
      <xdr:col>2</xdr:col>
      <xdr:colOff>7023</xdr:colOff>
      <xdr:row>26</xdr:row>
      <xdr:rowOff>171358</xdr:rowOff>
    </xdr:from>
    <xdr:to>
      <xdr:col>14</xdr:col>
      <xdr:colOff>97112</xdr:colOff>
      <xdr:row>43</xdr:row>
      <xdr:rowOff>19899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1542AD-FC8C-7507-202A-E565589F7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96" y="4933858"/>
          <a:ext cx="7443735" cy="29398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228599</xdr:colOff>
      <xdr:row>11</xdr:row>
      <xdr:rowOff>142875</xdr:rowOff>
    </xdr:from>
    <xdr:to>
      <xdr:col>6</xdr:col>
      <xdr:colOff>129224</xdr:colOff>
      <xdr:row>17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302F5E0-FED7-9B71-B440-D642379A328F}"/>
            </a:ext>
          </a:extLst>
        </xdr:cNvPr>
        <xdr:cNvSpPr/>
      </xdr:nvSpPr>
      <xdr:spPr>
        <a:xfrm>
          <a:off x="981074" y="2076450"/>
          <a:ext cx="2520000" cy="1162050"/>
        </a:xfrm>
        <a:prstGeom prst="rect">
          <a:avLst/>
        </a:prstGeom>
        <a:solidFill>
          <a:schemeClr val="bg1"/>
        </a:solidFill>
        <a:ln>
          <a:solidFill>
            <a:srgbClr val="198E7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100" b="1">
              <a:solidFill>
                <a:sysClr val="windowText" lastClr="000000"/>
              </a:solidFill>
            </a:rPr>
            <a:t>Inputs | Outputs</a:t>
          </a:r>
        </a:p>
      </xdr:txBody>
    </xdr:sp>
    <xdr:clientData/>
  </xdr:twoCellAnchor>
  <xdr:twoCellAnchor>
    <xdr:from>
      <xdr:col>7</xdr:col>
      <xdr:colOff>76199</xdr:colOff>
      <xdr:row>11</xdr:row>
      <xdr:rowOff>142875</xdr:rowOff>
    </xdr:from>
    <xdr:to>
      <xdr:col>11</xdr:col>
      <xdr:colOff>157799</xdr:colOff>
      <xdr:row>17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01E35E6-0617-4C74-8CA1-C7179C1BF4B0}"/>
            </a:ext>
          </a:extLst>
        </xdr:cNvPr>
        <xdr:cNvSpPr/>
      </xdr:nvSpPr>
      <xdr:spPr>
        <a:xfrm>
          <a:off x="4057649" y="2133600"/>
          <a:ext cx="2520000" cy="1162050"/>
        </a:xfrm>
        <a:prstGeom prst="rect">
          <a:avLst/>
        </a:prstGeom>
        <a:solidFill>
          <a:schemeClr val="bg1"/>
        </a:solidFill>
        <a:ln>
          <a:solidFill>
            <a:srgbClr val="198E7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100" b="1">
              <a:solidFill>
                <a:sysClr val="windowText" lastClr="000000"/>
              </a:solidFill>
            </a:rPr>
            <a:t>Calculations</a:t>
          </a:r>
        </a:p>
      </xdr:txBody>
    </xdr:sp>
    <xdr:clientData/>
  </xdr:twoCellAnchor>
  <xdr:twoCellAnchor>
    <xdr:from>
      <xdr:col>3</xdr:col>
      <xdr:colOff>361951</xdr:colOff>
      <xdr:row>13</xdr:row>
      <xdr:rowOff>57150</xdr:rowOff>
    </xdr:from>
    <xdr:to>
      <xdr:col>6</xdr:col>
      <xdr:colOff>0</xdr:colOff>
      <xdr:row>17</xdr:row>
      <xdr:rowOff>0</xdr:rowOff>
    </xdr:to>
    <xdr:sp macro="" textlink="">
      <xdr:nvSpPr>
        <xdr:cNvPr id="7" name="Rectangl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0816B-69F2-4552-A08C-F7A651D9F10C}"/>
            </a:ext>
          </a:extLst>
        </xdr:cNvPr>
        <xdr:cNvSpPr/>
      </xdr:nvSpPr>
      <xdr:spPr>
        <a:xfrm>
          <a:off x="1114426" y="2371725"/>
          <a:ext cx="2257424" cy="704850"/>
        </a:xfrm>
        <a:prstGeom prst="rect">
          <a:avLst/>
        </a:prstGeom>
        <a:solidFill>
          <a:srgbClr val="198E7D">
            <a:alpha val="50196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100" b="0"/>
            <a:t>Key Project Input/Assumption</a:t>
          </a:r>
          <a:r>
            <a:rPr lang="en-AU" sz="1100" b="0" baseline="0"/>
            <a:t> and summary of outputs / underwriting payment mechanism</a:t>
          </a:r>
          <a:endParaRPr lang="en-AU" sz="1100" b="0"/>
        </a:p>
      </xdr:txBody>
    </xdr:sp>
    <xdr:clientData/>
  </xdr:twoCellAnchor>
  <xdr:twoCellAnchor>
    <xdr:from>
      <xdr:col>6</xdr:col>
      <xdr:colOff>129224</xdr:colOff>
      <xdr:row>14</xdr:row>
      <xdr:rowOff>152400</xdr:rowOff>
    </xdr:from>
    <xdr:to>
      <xdr:col>7</xdr:col>
      <xdr:colOff>76199</xdr:colOff>
      <xdr:row>14</xdr:row>
      <xdr:rowOff>152400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8FC7F37-0D1F-9D26-5AFE-7EDEAECC1B40}"/>
            </a:ext>
          </a:extLst>
        </xdr:cNvPr>
        <xdr:cNvCxnSpPr>
          <a:stCxn id="3" idx="3"/>
          <a:endCxn id="4" idx="1"/>
        </xdr:cNvCxnSpPr>
      </xdr:nvCxnSpPr>
      <xdr:spPr>
        <a:xfrm>
          <a:off x="3501074" y="2657475"/>
          <a:ext cx="556575" cy="0"/>
        </a:xfrm>
        <a:prstGeom prst="straightConnector1">
          <a:avLst/>
        </a:prstGeom>
        <a:ln>
          <a:solidFill>
            <a:srgbClr val="198E7D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228601</xdr:colOff>
      <xdr:row>13</xdr:row>
      <xdr:rowOff>57150</xdr:rowOff>
    </xdr:from>
    <xdr:to>
      <xdr:col>11</xdr:col>
      <xdr:colOff>47625</xdr:colOff>
      <xdr:row>17</xdr:row>
      <xdr:rowOff>0</xdr:rowOff>
    </xdr:to>
    <xdr:sp macro="" textlink="">
      <xdr:nvSpPr>
        <xdr:cNvPr id="10" name="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33BC8-32F7-43CD-B009-A41A3A04FA2F}"/>
            </a:ext>
          </a:extLst>
        </xdr:cNvPr>
        <xdr:cNvSpPr/>
      </xdr:nvSpPr>
      <xdr:spPr>
        <a:xfrm>
          <a:off x="4210051" y="2562225"/>
          <a:ext cx="2257424" cy="704850"/>
        </a:xfrm>
        <a:prstGeom prst="rect">
          <a:avLst/>
        </a:prstGeom>
        <a:solidFill>
          <a:srgbClr val="198E7D">
            <a:alpha val="50196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100" baseline="0"/>
            <a:t>Calculation of Payment Mechanism</a:t>
          </a:r>
          <a:endParaRPr lang="en-A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659125</xdr:colOff>
      <xdr:row>35</xdr:row>
      <xdr:rowOff>9525</xdr:rowOff>
    </xdr:from>
    <xdr:to>
      <xdr:col>13</xdr:col>
      <xdr:colOff>239725</xdr:colOff>
      <xdr:row>58</xdr:row>
      <xdr:rowOff>167100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ADFC23-9B16-4AE5-BF68-D5282E250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15875</xdr:colOff>
      <xdr:row>35</xdr:row>
      <xdr:rowOff>9525</xdr:rowOff>
    </xdr:from>
    <xdr:to>
      <xdr:col>5</xdr:col>
      <xdr:colOff>36950</xdr:colOff>
      <xdr:row>58</xdr:row>
      <xdr:rowOff>167100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6FE70DE-2EBC-41B7-8430-50B2303CA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659125</xdr:colOff>
      <xdr:row>59</xdr:row>
      <xdr:rowOff>180974</xdr:rowOff>
    </xdr:from>
    <xdr:to>
      <xdr:col>13</xdr:col>
      <xdr:colOff>236550</xdr:colOff>
      <xdr:row>83</xdr:row>
      <xdr:rowOff>160749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C0906EB-14F1-43C4-B908-0189C55C1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9525</xdr:colOff>
      <xdr:row>59</xdr:row>
      <xdr:rowOff>180974</xdr:rowOff>
    </xdr:from>
    <xdr:to>
      <xdr:col>5</xdr:col>
      <xdr:colOff>30600</xdr:colOff>
      <xdr:row>83</xdr:row>
      <xdr:rowOff>157574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15ADD55-7781-4F14-8A11-69E0A660E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758823</xdr:colOff>
      <xdr:row>35</xdr:row>
      <xdr:rowOff>38101</xdr:rowOff>
    </xdr:from>
    <xdr:to>
      <xdr:col>13</xdr:col>
      <xdr:colOff>170389</xdr:colOff>
      <xdr:row>36</xdr:row>
      <xdr:rowOff>126999</xdr:rowOff>
    </xdr:to>
    <xdr:pic>
      <xdr:nvPicPr>
        <xdr:cNvPr id="8" name="Graphic 7" descr="Badge Question Mark with solid fill">
          <a:hlinkClick xmlns:r="http://schemas.openxmlformats.org/officeDocument/2006/relationships" r:id="rId5" tooltip="Value (green): Payable by the Commonwealth | Value (grey): Payable by the Project Operator"/>
          <a:extLst>
            <a:ext uri="{FF2B5EF4-FFF2-40B4-BE49-F238E27FC236}">
              <a16:creationId xmlns:a16="http://schemas.microsoft.com/office/drawing/2014/main" id="{2517CDD6-DD76-D5C1-2AF3-4825D0002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4093823" y="6294968"/>
          <a:ext cx="266699" cy="271990"/>
        </a:xfrm>
        <a:prstGeom prst="rect">
          <a:avLst/>
        </a:prstGeom>
      </xdr:spPr>
    </xdr:pic>
    <xdr:clientData/>
  </xdr:twoCellAnchor>
  <xdr:twoCellAnchor editAs="oneCell">
    <xdr:from>
      <xdr:col>12</xdr:col>
      <xdr:colOff>758823</xdr:colOff>
      <xdr:row>60</xdr:row>
      <xdr:rowOff>19051</xdr:rowOff>
    </xdr:from>
    <xdr:to>
      <xdr:col>13</xdr:col>
      <xdr:colOff>170389</xdr:colOff>
      <xdr:row>61</xdr:row>
      <xdr:rowOff>101600</xdr:rowOff>
    </xdr:to>
    <xdr:pic>
      <xdr:nvPicPr>
        <xdr:cNvPr id="9" name="Graphic 8" descr="Badge Question Mark with solid fill">
          <a:hlinkClick xmlns:r="http://schemas.openxmlformats.org/officeDocument/2006/relationships" r:id="rId8" tooltip="Value (green): Payable by the Commonwealth | Value (grey): Payable by the Project Operator"/>
          <a:extLst>
            <a:ext uri="{FF2B5EF4-FFF2-40B4-BE49-F238E27FC236}">
              <a16:creationId xmlns:a16="http://schemas.microsoft.com/office/drawing/2014/main" id="{5800E925-4F16-4F66-A8ED-DA64CDFEC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4093823" y="10932584"/>
          <a:ext cx="266699" cy="271991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2" name="UpSlideBridgeIdSh" descr="3" hidden="1">
          <a:extLst xmlns:a="http://schemas.openxmlformats.org/drawingml/2006/main">
            <a:ext uri="{FF2B5EF4-FFF2-40B4-BE49-F238E27FC236}">
              <a16:creationId xmlns:a16="http://schemas.microsoft.com/office/drawing/2014/main" id="{E61FED3D-92B7-4856-20DF-F54228BF689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3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8833D6FF-B1D4-F114-EAE6-60EAAC4AF57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4" name="UpSlideBridgeIdSh" descr="3" hidden="1">
          <a:extLst xmlns:a="http://schemas.openxmlformats.org/drawingml/2006/main">
            <a:ext uri="{FF2B5EF4-FFF2-40B4-BE49-F238E27FC236}">
              <a16:creationId xmlns:a16="http://schemas.microsoft.com/office/drawing/2014/main" id="{E61FED3D-92B7-4856-20DF-F54228BF689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5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8833D6FF-B1D4-F114-EAE6-60EAAC4AF57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0.00986</cdr:x>
      <cdr:y>0.01878</cdr:y>
    </cdr:from>
    <cdr:to>
      <cdr:x>0.00986</cdr:x>
      <cdr:y>0.01878</cdr:y>
    </cdr:to>
    <cdr:sp macro="" textlink="">
      <cdr:nvSpPr>
        <cdr:cNvPr id="6" name="UpSlideExportSave" hidden="1">
          <a:extLst xmlns:a="http://schemas.openxmlformats.org/drawingml/2006/main">
            <a:ext uri="{FF2B5EF4-FFF2-40B4-BE49-F238E27FC236}">
              <a16:creationId xmlns:a16="http://schemas.microsoft.com/office/drawing/2014/main" id="{E3E603B2-0B85-806A-96A2-D17D6C53193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0.00594</cdr:x>
      <cdr:y>0.01298</cdr:y>
    </cdr:from>
    <cdr:to>
      <cdr:x>0.00594</cdr:x>
      <cdr:y>0.01298</cdr:y>
    </cdr:to>
    <cdr:sp macro="" textlink="">
      <cdr:nvSpPr>
        <cdr:cNvPr id="2" name="UpSlideExportSave" hidden="1">
          <a:extLst xmlns:a="http://schemas.openxmlformats.org/drawingml/2006/main">
            <a:ext uri="{FF2B5EF4-FFF2-40B4-BE49-F238E27FC236}">
              <a16:creationId xmlns:a16="http://schemas.microsoft.com/office/drawing/2014/main" id="{0ABB446D-4478-BF47-F4BF-F048E2F5DF53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0.00594</cdr:x>
      <cdr:y>0.01298</cdr:y>
    </cdr:from>
    <cdr:to>
      <cdr:x>0.00594</cdr:x>
      <cdr:y>0.01298</cdr:y>
    </cdr:to>
    <cdr:sp macro="" textlink="">
      <cdr:nvSpPr>
        <cdr:cNvPr id="3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D2FEAD46-F05C-7FCD-0043-3FB770530175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2" name="UpSlideBridgeIdSh" descr="2" hidden="1">
          <a:extLst xmlns:a="http://schemas.openxmlformats.org/drawingml/2006/main">
            <a:ext uri="{FF2B5EF4-FFF2-40B4-BE49-F238E27FC236}">
              <a16:creationId xmlns:a16="http://schemas.microsoft.com/office/drawing/2014/main" id="{31D2793B-8AFD-6C7D-4E48-CE63BC6CBED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3" name="UpSlideExportSave" hidden="1">
          <a:extLst xmlns:a="http://schemas.openxmlformats.org/drawingml/2006/main">
            <a:ext uri="{FF2B5EF4-FFF2-40B4-BE49-F238E27FC236}">
              <a16:creationId xmlns:a16="http://schemas.microsoft.com/office/drawing/2014/main" id="{C4D4A4A7-6962-D8B0-12C4-B2C4C2F9ED18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0.00971</cdr:x>
      <cdr:y>0.01905</cdr:y>
    </cdr:from>
    <cdr:to>
      <cdr:x>0.00971</cdr:x>
      <cdr:y>0.01905</cdr:y>
    </cdr:to>
    <cdr:sp macro="" textlink="">
      <cdr:nvSpPr>
        <cdr:cNvPr id="4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FB513C09-94DC-C110-5FE6-3A892FFB7543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0.00594</cdr:x>
      <cdr:y>0.01298</cdr:y>
    </cdr:from>
    <cdr:to>
      <cdr:x>0.00594</cdr:x>
      <cdr:y>0.01298</cdr:y>
    </cdr:to>
    <cdr:sp macro="" textlink="">
      <cdr:nvSpPr>
        <cdr:cNvPr id="2" name="UpSlideExportSave" hidden="1">
          <a:extLst xmlns:a="http://schemas.openxmlformats.org/drawingml/2006/main">
            <a:ext uri="{FF2B5EF4-FFF2-40B4-BE49-F238E27FC236}">
              <a16:creationId xmlns:a16="http://schemas.microsoft.com/office/drawing/2014/main" id="{0ABB446D-4478-BF47-F4BF-F048E2F5DF53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0.00594</cdr:x>
      <cdr:y>0.01298</cdr:y>
    </cdr:from>
    <cdr:to>
      <cdr:x>0.00594</cdr:x>
      <cdr:y>0.01298</cdr:y>
    </cdr:to>
    <cdr:sp macro="" textlink="">
      <cdr:nvSpPr>
        <cdr:cNvPr id="3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D2FEAD46-F05C-7FCD-0043-3FB770530175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9</xdr:row>
      <xdr:rowOff>0</xdr:rowOff>
    </xdr:from>
    <xdr:to>
      <xdr:col>33</xdr:col>
      <xdr:colOff>285564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3BE25F-EBDA-4532-90D9-77FAE03D5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2" name="UpSlideBridgeIdSh" descr="3" hidden="1">
          <a:extLst xmlns:a="http://schemas.openxmlformats.org/drawingml/2006/main">
            <a:ext uri="{FF2B5EF4-FFF2-40B4-BE49-F238E27FC236}">
              <a16:creationId xmlns:a16="http://schemas.microsoft.com/office/drawing/2014/main" id="{E61FED3D-92B7-4856-20DF-F54228BF689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3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8833D6FF-B1D4-F114-EAE6-60EAAC4AF57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4" name="UpSlideBridgeIdSh" descr="3" hidden="1">
          <a:extLst xmlns:a="http://schemas.openxmlformats.org/drawingml/2006/main">
            <a:ext uri="{FF2B5EF4-FFF2-40B4-BE49-F238E27FC236}">
              <a16:creationId xmlns:a16="http://schemas.microsoft.com/office/drawing/2014/main" id="{E61FED3D-92B7-4856-20DF-F54228BF689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0.008</cdr:x>
      <cdr:y>0.01333</cdr:y>
    </cdr:from>
    <cdr:to>
      <cdr:x>0.008</cdr:x>
      <cdr:y>0.01333</cdr:y>
    </cdr:to>
    <cdr:sp macro="" textlink="">
      <cdr:nvSpPr>
        <cdr:cNvPr id="5" name="#UpSlide#ChartHasBeenCopiedWithUpSlideActive#" hidden="1">
          <a:extLst xmlns:a="http://schemas.openxmlformats.org/drawingml/2006/main">
            <a:ext uri="{FF2B5EF4-FFF2-40B4-BE49-F238E27FC236}">
              <a16:creationId xmlns:a16="http://schemas.microsoft.com/office/drawing/2014/main" id="{8833D6FF-B1D4-F114-EAE6-60EAAC4AF57C}"/>
            </a:ext>
          </a:extLst>
        </cdr:cNvPr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>
  <person displayName="Jack Taylor" id="{D047DB06-D6B2-4327-BA84-28EA84E749A9}" userId="S::Jack.Taylor@aemo.com.au::37434176-69df-4b7d-af72-fdfd784f87ef" providerId="AD"/>
  <person displayName="Liam KNOTT" id="{0C208DE5-C828-489C-BF4B-6F7E013C8B31}" userId="S::Liam.Knott@dcceew-migration.gov.au::8ae56be4-e4f9-4924-a3e3-0ad7af7120e1" providerId="AD"/>
</personList>
</file>

<file path=xl/theme/theme1.xml><?xml version="1.0" encoding="utf-8"?>
<a:theme xmlns:a="http://schemas.openxmlformats.org/drawingml/2006/main" name="Theme1">
  <a:themeElements>
    <a:clrScheme name="AEMO Services Theme">
      <a:dk1>
        <a:srgbClr val="000000"/>
      </a:dk1>
      <a:lt1>
        <a:srgbClr val="FFFFFF"/>
      </a:lt1>
      <a:dk2>
        <a:srgbClr val="002B49"/>
      </a:dk2>
      <a:lt2>
        <a:srgbClr val="E7E6E6"/>
      </a:lt2>
      <a:accent1>
        <a:srgbClr val="015782"/>
      </a:accent1>
      <a:accent2>
        <a:srgbClr val="38ADCA"/>
      </a:accent2>
      <a:accent3>
        <a:srgbClr val="77C5D5"/>
      </a:accent3>
      <a:accent4>
        <a:srgbClr val="B3DDED"/>
      </a:accent4>
      <a:accent5>
        <a:srgbClr val="D0D3D3"/>
      </a:accent5>
      <a:accent6>
        <a:srgbClr val="373A36"/>
      </a:accent6>
      <a:hlink>
        <a:srgbClr val="0563C1"/>
      </a:hlink>
      <a:folHlink>
        <a:srgbClr val="A3DBE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EMOServicesTheme" id="{9B80FA93-A589-3B44-92E2-3CA55C2E46C7}" vid="{181DD52B-BC5E-EB41-8610-D70F22EABDA5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4-08-01T06:01:33.09" personId="{0C208DE5-C828-489C-BF4B-6F7E013C8B31}" id="{A9AF38A3-F44D-42C2-8DB3-C9F38FCCEA09}" done="1">
    <text>Should this be Annual Revenue Floor?</text>
  </threadedComment>
  <threadedComment ref="E12" dT="2024-08-01T06:03:53.46" personId="{0C208DE5-C828-489C-BF4B-6F7E013C8B31}" id="{A2E6C45B-909B-4B79-A979-ACD77175F2AF}" parentId="{A9AF38A3-F44D-42C2-8DB3-C9F38FCCEA09}">
    <text>Or Quarterly Revenue Floor</text>
  </threadedComment>
  <threadedComment ref="E12" dT="2024-08-05T03:43:01.72" personId="{D047DB06-D6B2-4327-BA84-28EA84E749A9}" id="{80DA94F7-AEAA-45D2-BFF3-F12D777403FA}" parentId="{A9AF38A3-F44D-42C2-8DB3-C9F38FCCEA09}">
    <text>Actioned</text>
  </threadedComment>
  <threadedComment ref="F12" dT="2024-08-01T06:01:50.46" personId="{0C208DE5-C828-489C-BF4B-6F7E013C8B31}" id="{383D9DD7-6776-4F2D-812F-D2032BA96A47}" done="1">
    <text>Should this be Annual Revenue Ceiling?</text>
  </threadedComment>
  <threadedComment ref="F12" dT="2024-08-01T06:04:00.99" personId="{0C208DE5-C828-489C-BF4B-6F7E013C8B31}" id="{21DB74FF-2143-4A73-A66E-E1185586BE28}" parentId="{383D9DD7-6776-4F2D-812F-D2032BA96A47}">
    <text>Or Quarterly Revenue Ceiling</text>
  </threadedComment>
  <threadedComment ref="F12" dT="2024-08-05T05:29:14.74" personId="{D047DB06-D6B2-4327-BA84-28EA84E749A9}" id="{B6C252BA-F2C5-491C-B152-C52E9A5F003C}" parentId="{383D9DD7-6776-4F2D-812F-D2032BA96A47}">
    <text>Actioned</text>
  </threadedComment>
  <threadedComment ref="G12" dT="2024-08-01T06:04:18.27" personId="{0C208DE5-C828-489C-BF4B-6F7E013C8B31}" id="{4188F1B0-A3C4-4CEC-99AF-CEBD5B149679}" done="1">
    <text>Should this be Quarterly Net Operational Revenue?</text>
  </threadedComment>
  <threadedComment ref="G12" dT="2024-08-05T05:29:24.40" personId="{D047DB06-D6B2-4327-BA84-28EA84E749A9}" id="{4DC9174E-CEAF-4AE6-BF3A-BF1C6F030FF8}" parentId="{4188F1B0-A3C4-4CEC-99AF-CEBD5B149679}">
    <text>Actioned</text>
  </threadedComment>
  <threadedComment ref="D19" dT="2024-08-01T06:03:06.29" personId="{0C208DE5-C828-489C-BF4B-6F7E013C8B31}" id="{8A844A90-6482-4256-AB1D-FF4DEE36881F}" done="1">
    <text>'Reconciliation' is not used in this contract and could be confusing with SA-Vic - maybe something like 'Annual Payment Summary'?</text>
  </threadedComment>
  <threadedComment ref="D19" dT="2024-08-05T05:29:29.91" personId="{D047DB06-D6B2-4327-BA84-28EA84E749A9}" id="{72F1A0A2-5283-49BF-945C-C16103060775}" parentId="{8A844A90-6482-4256-AB1D-FF4DEE36881F}">
    <text>Actioned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DDC4-4721-47BC-97D4-71F40F0AED00}">
  <sheetPr codeName="Sheet1">
    <tabColor theme="1"/>
  </sheetPr>
  <dimension ref="A1:AC49"/>
  <sheetViews>
    <sheetView showGridLines="0" tabSelected="1" zoomScale="80" zoomScaleNormal="80" workbookViewId="0"/>
  </sheetViews>
  <sheetFormatPr defaultColWidth="0" defaultRowHeight="15" zeroHeight="1" x14ac:dyDescent="0.25"/>
  <cols>
    <col min="1" max="2" width="3.28515625" customWidth="1"/>
    <col min="3" max="3" width="4.7109375" customWidth="1"/>
    <col min="4" max="15" width="9.28515625" customWidth="1"/>
    <col min="16" max="28" width="9.28515625" hidden="1" customWidth="1"/>
    <col min="29" max="29" width="6.28515625" hidden="1" customWidth="1"/>
    <col min="30" max="30" width="9.28515625" hidden="1" customWidth="1"/>
    <col min="31" max="16384" width="9.28515625" hidden="1"/>
  </cols>
  <sheetData>
    <row r="1" spans="1:14" s="30" customFormat="1" ht="15.75" x14ac:dyDescent="0.25">
      <c r="C1" s="33"/>
      <c r="D1" s="32" t="str">
        <f>Model_Name</f>
        <v>Capacity Investment Scheme NEM Generation - Draft</v>
      </c>
      <c r="E1" s="31"/>
      <c r="F1" s="31"/>
      <c r="G1" s="31"/>
      <c r="H1" s="31"/>
    </row>
    <row r="2" spans="1:14" s="35" customFormat="1" ht="15.75" x14ac:dyDescent="0.25">
      <c r="A2" s="34"/>
      <c r="B2" s="35">
        <f ca="1">_xlfn.SHEET()</f>
        <v>1</v>
      </c>
      <c r="C2" s="35" t="s">
        <v>0</v>
      </c>
    </row>
    <row r="3" spans="1:14" s="30" customFormat="1" x14ac:dyDescent="0.25">
      <c r="A3" s="33"/>
    </row>
    <row r="4" spans="1:14" s="30" customFormat="1" x14ac:dyDescent="0.25">
      <c r="B4" s="38"/>
      <c r="C4" s="40"/>
      <c r="D4" s="39"/>
    </row>
    <row r="5" spans="1:14" s="30" customFormat="1" x14ac:dyDescent="0.25">
      <c r="A5" s="37"/>
      <c r="C5" s="40"/>
      <c r="D5"/>
      <c r="E5"/>
      <c r="F5"/>
      <c r="G5"/>
      <c r="H5"/>
      <c r="I5"/>
      <c r="J5"/>
      <c r="K5"/>
      <c r="L5"/>
      <c r="M5"/>
      <c r="N5"/>
    </row>
    <row r="6" spans="1:14" s="30" customFormat="1" x14ac:dyDescent="0.25">
      <c r="A6" s="37"/>
      <c r="C6" s="41"/>
      <c r="D6" s="39"/>
    </row>
    <row r="7" spans="1:14" s="30" customFormat="1" x14ac:dyDescent="0.25">
      <c r="A7" s="37"/>
      <c r="C7" s="39"/>
      <c r="D7" s="39"/>
    </row>
    <row r="8" spans="1:14" s="30" customFormat="1" x14ac:dyDescent="0.25">
      <c r="A8" s="37"/>
    </row>
    <row r="9" spans="1:14" x14ac:dyDescent="0.25"/>
    <row r="10" spans="1:14" x14ac:dyDescent="0.25"/>
    <row r="11" spans="1:14" x14ac:dyDescent="0.25"/>
    <row r="12" spans="1:14" x14ac:dyDescent="0.25"/>
    <row r="13" spans="1:14" x14ac:dyDescent="0.25"/>
    <row r="14" spans="1:14" x14ac:dyDescent="0.25"/>
    <row r="15" spans="1:14" x14ac:dyDescent="0.25"/>
    <row r="16" spans="1:14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1:1" s="45" customFormat="1" x14ac:dyDescent="0.25">
      <c r="A49" s="45" t="s">
        <v>1</v>
      </c>
    </row>
  </sheetData>
  <pageMargins left="0.7" right="0.7" top="0.75" bottom="0.75" header="0.3" footer="0.3"/>
  <pageSetup paperSize="9" orientation="portrait" verticalDpi="0" r:id="rId1"/>
  <headerFooter>
    <oddHeader>&amp;L&amp;G&amp;C&amp;"Calibri"&amp;12&amp;KFF0000 OFFICIAL&amp;1#_x000D_</oddHeader>
    <oddFooter>&amp;C_x000D_&amp;1#&amp;"Calibri"&amp;12&amp;KFF0000 OFFICIAL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F0DD-FF29-45E3-8A93-0678F27DC071}">
  <sheetPr codeName="Sheet2">
    <tabColor theme="0" tint="-0.499984740745262"/>
  </sheetPr>
  <dimension ref="A1:AC45"/>
  <sheetViews>
    <sheetView showGridLines="0" zoomScale="80" zoomScaleNormal="80" workbookViewId="0"/>
  </sheetViews>
  <sheetFormatPr defaultColWidth="0" defaultRowHeight="15" zeroHeight="1" x14ac:dyDescent="0.25"/>
  <cols>
    <col min="1" max="2" width="3.28515625" customWidth="1"/>
    <col min="3" max="3" width="10.7109375" bestFit="1" customWidth="1"/>
    <col min="4" max="4" width="8.28515625" customWidth="1"/>
    <col min="5" max="5" width="2.42578125" customWidth="1"/>
    <col min="6" max="6" width="28.5703125" customWidth="1"/>
    <col min="7" max="13" width="9.28515625" customWidth="1"/>
    <col min="14" max="14" width="4" customWidth="1"/>
    <col min="15" max="22" width="9.28515625" customWidth="1"/>
    <col min="23" max="27" width="9.28515625" hidden="1" customWidth="1"/>
    <col min="28" max="28" width="8.5703125" hidden="1" customWidth="1"/>
    <col min="29" max="29" width="9.28515625" hidden="1" customWidth="1"/>
  </cols>
  <sheetData>
    <row r="1" spans="1:21" ht="15.75" x14ac:dyDescent="0.25">
      <c r="A1" s="30"/>
      <c r="B1" s="30"/>
      <c r="C1" s="33"/>
      <c r="D1" s="32" t="str">
        <f>Model_Name</f>
        <v>Capacity Investment Scheme NEM Generation - Draft</v>
      </c>
      <c r="E1" s="31"/>
      <c r="F1" s="31"/>
      <c r="G1" s="31"/>
      <c r="H1" s="31"/>
      <c r="I1" s="30"/>
      <c r="J1" s="30"/>
      <c r="K1" s="30"/>
      <c r="L1" s="30"/>
      <c r="M1" s="30"/>
      <c r="N1" s="30"/>
      <c r="O1" s="30"/>
    </row>
    <row r="2" spans="1:21" s="36" customFormat="1" ht="15.75" x14ac:dyDescent="0.25">
      <c r="A2" s="34"/>
      <c r="B2" s="35">
        <f ca="1">_xlfn.SHEET()</f>
        <v>2</v>
      </c>
      <c r="C2" s="35" t="s">
        <v>2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21" x14ac:dyDescent="0.25">
      <c r="A3" s="3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21" x14ac:dyDescent="0.25">
      <c r="A4" s="30"/>
      <c r="B4" s="38"/>
      <c r="C4" s="57" t="s">
        <v>3</v>
      </c>
      <c r="D4" s="3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21" x14ac:dyDescent="0.25">
      <c r="A5" s="37"/>
      <c r="B5" s="30"/>
      <c r="C5" s="40"/>
      <c r="D5" s="130" t="s">
        <v>4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</row>
    <row r="6" spans="1:21" x14ac:dyDescent="0.25">
      <c r="A6" s="37"/>
      <c r="B6" s="30"/>
      <c r="C6" s="41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</row>
    <row r="7" spans="1:21" x14ac:dyDescent="0.25">
      <c r="A7" s="37"/>
      <c r="B7" s="30"/>
      <c r="C7" s="39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</row>
    <row r="8" spans="1:21" x14ac:dyDescent="0.25">
      <c r="A8" s="37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21" ht="5.0999999999999996" customHeight="1" x14ac:dyDescent="0.25">
      <c r="A9" s="17"/>
      <c r="B9" s="17"/>
      <c r="C9" s="17"/>
      <c r="D9" s="15"/>
      <c r="E9" s="16"/>
      <c r="F9" s="16"/>
      <c r="G9" s="16"/>
      <c r="I9" s="16"/>
      <c r="J9" s="14"/>
    </row>
    <row r="10" spans="1:21" ht="15.75" x14ac:dyDescent="0.25">
      <c r="A10" s="30"/>
      <c r="B10" s="30"/>
      <c r="C10" s="58">
        <v>2.1</v>
      </c>
      <c r="D10" s="59" t="s">
        <v>5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2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2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2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21" x14ac:dyDescent="0.25">
      <c r="A15" s="30"/>
      <c r="B15" s="30"/>
      <c r="C15" s="30"/>
      <c r="D15" s="30"/>
      <c r="E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1:2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2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2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2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2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21" s="62" customFormat="1" ht="15.75" x14ac:dyDescent="0.25">
      <c r="A21"/>
      <c r="B21" s="61"/>
      <c r="C21" s="113">
        <v>2.2000000000000002</v>
      </c>
      <c r="D21" s="117" t="s">
        <v>6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</row>
    <row r="22" spans="1:21" x14ac:dyDescent="0.25">
      <c r="B22" s="61"/>
    </row>
    <row r="23" spans="1:21" x14ac:dyDescent="0.25">
      <c r="B23" s="61"/>
      <c r="C23" t="s">
        <v>7</v>
      </c>
      <c r="D23" s="63">
        <v>100</v>
      </c>
      <c r="F23" t="s">
        <v>8</v>
      </c>
    </row>
    <row r="24" spans="1:21" x14ac:dyDescent="0.25">
      <c r="B24" s="61"/>
      <c r="C24" t="s">
        <v>7</v>
      </c>
      <c r="D24" s="64">
        <v>100</v>
      </c>
      <c r="F24" t="s">
        <v>9</v>
      </c>
    </row>
    <row r="25" spans="1:21" x14ac:dyDescent="0.25">
      <c r="C25" t="s">
        <v>7</v>
      </c>
      <c r="D25" s="65"/>
      <c r="F25" t="s">
        <v>10</v>
      </c>
    </row>
    <row r="26" spans="1:21" x14ac:dyDescent="0.25">
      <c r="B26" s="61"/>
      <c r="C26" t="s">
        <v>7</v>
      </c>
      <c r="D26" s="1">
        <v>100</v>
      </c>
      <c r="F26" t="s">
        <v>11</v>
      </c>
    </row>
    <row r="27" spans="1:21" x14ac:dyDescent="0.25">
      <c r="B27" s="61"/>
    </row>
    <row r="28" spans="1:21" s="62" customFormat="1" ht="15.75" x14ac:dyDescent="0.25">
      <c r="A28"/>
      <c r="B28" s="61"/>
      <c r="C28" s="113">
        <v>2.3000000000000003</v>
      </c>
      <c r="D28" s="117" t="s">
        <v>12</v>
      </c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</row>
    <row r="29" spans="1:21" x14ac:dyDescent="0.25">
      <c r="B29" s="61"/>
    </row>
    <row r="30" spans="1:21" s="69" customFormat="1" ht="14.25" x14ac:dyDescent="0.25">
      <c r="A30" s="66"/>
      <c r="B30" s="66"/>
      <c r="C30" s="67" t="s">
        <v>13</v>
      </c>
      <c r="D30" s="68" t="s">
        <v>14</v>
      </c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</row>
    <row r="31" spans="1:21" x14ac:dyDescent="0.25">
      <c r="B31" s="61"/>
      <c r="C31" t="s">
        <v>7</v>
      </c>
      <c r="D31" t="s">
        <v>15</v>
      </c>
    </row>
    <row r="32" spans="1:21" x14ac:dyDescent="0.25">
      <c r="B32" s="61"/>
      <c r="C32" t="s">
        <v>7</v>
      </c>
      <c r="D32" s="131" t="s">
        <v>16</v>
      </c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</row>
    <row r="33" spans="1:21" x14ac:dyDescent="0.25">
      <c r="B33" s="6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</row>
    <row r="34" spans="1:21" x14ac:dyDescent="0.25">
      <c r="B34" s="6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</row>
    <row r="35" spans="1:21" s="69" customFormat="1" ht="14.25" x14ac:dyDescent="0.25">
      <c r="A35" s="66"/>
      <c r="B35" s="66"/>
      <c r="C35" s="67" t="s">
        <v>17</v>
      </c>
      <c r="D35" s="68" t="s">
        <v>18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 spans="1:21" x14ac:dyDescent="0.25">
      <c r="B36" s="61"/>
      <c r="C36" s="66" t="s">
        <v>7</v>
      </c>
      <c r="D36" s="71" t="s">
        <v>19</v>
      </c>
      <c r="F36" s="19" t="s">
        <v>20</v>
      </c>
    </row>
    <row r="37" spans="1:21" x14ac:dyDescent="0.25">
      <c r="B37" s="61"/>
      <c r="C37" t="s">
        <v>7</v>
      </c>
      <c r="D37" s="71" t="s">
        <v>21</v>
      </c>
      <c r="F37" s="19" t="s">
        <v>22</v>
      </c>
    </row>
    <row r="38" spans="1:21" x14ac:dyDescent="0.25">
      <c r="B38" s="61"/>
    </row>
    <row r="39" spans="1:21" x14ac:dyDescent="0.25">
      <c r="C39" s="67" t="s">
        <v>23</v>
      </c>
      <c r="D39" s="68" t="s">
        <v>24</v>
      </c>
    </row>
    <row r="40" spans="1:21" x14ac:dyDescent="0.25">
      <c r="B40" s="61"/>
      <c r="C40" t="s">
        <v>7</v>
      </c>
      <c r="D40" t="s">
        <v>25</v>
      </c>
    </row>
    <row r="41" spans="1:21" x14ac:dyDescent="0.25">
      <c r="B41" s="61"/>
      <c r="D41" t="s">
        <v>26</v>
      </c>
    </row>
    <row r="42" spans="1:21" x14ac:dyDescent="0.25">
      <c r="B42" s="61"/>
    </row>
    <row r="43" spans="1:21" x14ac:dyDescent="0.25"/>
    <row r="44" spans="1:21" s="45" customFormat="1" x14ac:dyDescent="0.25">
      <c r="A44" s="45" t="s">
        <v>1</v>
      </c>
    </row>
    <row r="45" spans="1:21" x14ac:dyDescent="0.25"/>
  </sheetData>
  <sheetProtection selectLockedCells="1"/>
  <mergeCells count="2">
    <mergeCell ref="D5:U7"/>
    <mergeCell ref="D32:U33"/>
  </mergeCells>
  <pageMargins left="0.7" right="0.7" top="0.75" bottom="0.75" header="0.3" footer="0.3"/>
  <pageSetup paperSize="9" orientation="portrait" r:id="rId1"/>
  <headerFooter>
    <oddHeader>&amp;C&amp;"Calibri"&amp;12&amp;KFF0000 OFFICIAL&amp;1#_x000D_&amp;"Calibri"&amp;11&amp;K000000&amp;G</oddHeader>
    <oddFooter>&amp;C_x000D_&amp;1#&amp;"Calibri"&amp;12&amp;KFF0000 OFFICIAL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641D-828C-4CF8-84D9-6BB4F04A7D38}">
  <sheetPr>
    <tabColor rgb="FF198D7D"/>
    <outlinePr summaryBelow="0" summaryRight="0"/>
  </sheetPr>
  <dimension ref="A1:AA97"/>
  <sheetViews>
    <sheetView showGridLines="0" zoomScale="80" zoomScaleNormal="80" workbookViewId="0"/>
  </sheetViews>
  <sheetFormatPr defaultColWidth="0" defaultRowHeight="15" zeroHeight="1" outlineLevelRow="1" x14ac:dyDescent="0.25"/>
  <cols>
    <col min="1" max="2" width="3.28515625" style="19" customWidth="1"/>
    <col min="3" max="3" width="10.7109375" style="19" bestFit="1" customWidth="1"/>
    <col min="4" max="4" width="62.5703125" customWidth="1"/>
    <col min="5" max="5" width="27.7109375" style="19" customWidth="1"/>
    <col min="6" max="6" width="11.28515625" style="4" customWidth="1"/>
    <col min="7" max="7" width="29.5703125" customWidth="1"/>
    <col min="8" max="8" width="11.5703125" bestFit="1" customWidth="1"/>
    <col min="9" max="9" width="1" customWidth="1"/>
    <col min="10" max="13" width="12.42578125" customWidth="1"/>
    <col min="14" max="14" width="3.7109375" customWidth="1"/>
    <col min="15" max="15" width="7.85546875" customWidth="1"/>
    <col min="16" max="16" width="9.42578125" hidden="1" customWidth="1"/>
    <col min="17" max="27" width="0" hidden="1" customWidth="1"/>
    <col min="28" max="16384" width="9.28515625" hidden="1"/>
  </cols>
  <sheetData>
    <row r="1" spans="1:27" ht="15.75" x14ac:dyDescent="0.25">
      <c r="A1" s="73" t="s">
        <v>27</v>
      </c>
      <c r="B1" s="30"/>
      <c r="C1" s="33"/>
      <c r="D1" s="32" t="str">
        <f>Model_Name</f>
        <v>Capacity Investment Scheme NEM Generation - Draft</v>
      </c>
      <c r="E1" s="98"/>
      <c r="F1" s="110"/>
      <c r="G1" s="31"/>
      <c r="H1" s="31"/>
      <c r="I1" s="30"/>
      <c r="J1" s="30"/>
      <c r="K1" s="30"/>
      <c r="L1" s="30"/>
      <c r="M1" s="30"/>
      <c r="N1" s="30"/>
      <c r="O1" s="30"/>
      <c r="P1" s="30"/>
      <c r="Q1" s="30"/>
    </row>
    <row r="2" spans="1:27" ht="15.75" x14ac:dyDescent="0.25">
      <c r="A2" s="34"/>
      <c r="B2" s="35">
        <f ca="1">_xlfn.SHEET()</f>
        <v>3</v>
      </c>
      <c r="C2" s="35" t="s">
        <v>28</v>
      </c>
      <c r="D2" s="35"/>
      <c r="E2" s="99"/>
      <c r="F2" s="11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x14ac:dyDescent="0.25">
      <c r="A3" s="33"/>
      <c r="B3" s="30"/>
      <c r="C3" s="30"/>
      <c r="D3" s="30"/>
      <c r="E3" s="100"/>
      <c r="F3" s="11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27" x14ac:dyDescent="0.25">
      <c r="A4" s="30"/>
      <c r="B4" s="38"/>
      <c r="C4" s="40"/>
      <c r="D4" s="39"/>
      <c r="E4" s="100"/>
      <c r="F4" s="112"/>
      <c r="G4" s="30"/>
      <c r="I4" s="30"/>
      <c r="N4" s="30"/>
      <c r="O4" s="30"/>
      <c r="P4" s="30"/>
      <c r="Q4" s="30"/>
    </row>
    <row r="5" spans="1:27" x14ac:dyDescent="0.25">
      <c r="A5" s="37"/>
      <c r="B5" s="30"/>
      <c r="C5" s="40"/>
      <c r="D5" s="39"/>
      <c r="E5" s="100"/>
      <c r="F5" s="112"/>
      <c r="G5" s="30"/>
      <c r="I5" s="30"/>
      <c r="N5" s="30"/>
      <c r="O5" s="30"/>
      <c r="P5" s="30"/>
      <c r="Q5" s="30"/>
    </row>
    <row r="6" spans="1:27" x14ac:dyDescent="0.25">
      <c r="A6" s="37"/>
      <c r="B6" s="30"/>
      <c r="C6" s="74">
        <f>--AND($C$10:$C$81)</f>
        <v>1</v>
      </c>
      <c r="D6" s="75" t="str">
        <f>IF(C6,"All key input fields complete","Calculations input incomplete")</f>
        <v>All key input fields complete</v>
      </c>
      <c r="E6" s="100"/>
      <c r="F6" s="112"/>
      <c r="G6" s="30"/>
      <c r="I6" s="30"/>
      <c r="N6" s="30"/>
      <c r="O6" s="30"/>
      <c r="P6" s="30"/>
      <c r="Q6" s="30"/>
    </row>
    <row r="7" spans="1:27" x14ac:dyDescent="0.25">
      <c r="A7" s="37"/>
      <c r="B7" s="30"/>
      <c r="C7" s="39"/>
      <c r="D7" s="97" t="s">
        <v>29</v>
      </c>
      <c r="E7" s="100"/>
      <c r="F7" s="112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27" x14ac:dyDescent="0.25">
      <c r="A8" s="37"/>
      <c r="B8" s="30"/>
      <c r="C8" s="30"/>
      <c r="D8" s="30"/>
      <c r="E8" s="100"/>
      <c r="F8" s="112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27" s="14" customFormat="1" x14ac:dyDescent="0.25">
      <c r="A9" s="17"/>
      <c r="B9" s="17"/>
      <c r="C9" s="17"/>
      <c r="D9" s="15"/>
      <c r="E9" s="15"/>
      <c r="F9" s="16"/>
      <c r="G9" s="16"/>
      <c r="H9"/>
      <c r="I9"/>
      <c r="J9" s="16"/>
      <c r="L9"/>
      <c r="M9"/>
      <c r="N9"/>
      <c r="O9"/>
      <c r="P9"/>
      <c r="Q9"/>
      <c r="R9"/>
      <c r="S9"/>
      <c r="T9"/>
      <c r="U9"/>
      <c r="V9"/>
      <c r="W9"/>
    </row>
    <row r="10" spans="1:27" s="14" customFormat="1" x14ac:dyDescent="0.25">
      <c r="B10" s="14" t="s">
        <v>30</v>
      </c>
      <c r="C10" s="113">
        <v>3.1</v>
      </c>
      <c r="D10" s="114" t="s">
        <v>31</v>
      </c>
      <c r="E10" s="115" t="s">
        <v>32</v>
      </c>
      <c r="F10" s="116" t="s">
        <v>33</v>
      </c>
      <c r="G10" s="116" t="s">
        <v>34</v>
      </c>
      <c r="H10" s="116" t="s">
        <v>35</v>
      </c>
      <c r="I10" s="116"/>
      <c r="J10" s="116" t="s">
        <v>36</v>
      </c>
      <c r="K10" s="116" t="s">
        <v>37</v>
      </c>
      <c r="L10" s="116" t="s">
        <v>38</v>
      </c>
      <c r="M10" s="116" t="s">
        <v>39</v>
      </c>
      <c r="N10" s="116"/>
      <c r="O10"/>
      <c r="P10"/>
      <c r="Q10"/>
      <c r="R10"/>
      <c r="S10"/>
      <c r="T10"/>
      <c r="U10"/>
      <c r="V10"/>
      <c r="W10"/>
    </row>
    <row r="11" spans="1:27" s="14" customFormat="1" outlineLevel="1" x14ac:dyDescent="0.25">
      <c r="A11" s="17"/>
      <c r="B11" s="17"/>
      <c r="C11" s="17"/>
      <c r="D11" s="15"/>
      <c r="E11" s="15"/>
      <c r="F11" s="16"/>
      <c r="G11" s="16"/>
      <c r="H11"/>
      <c r="I11"/>
      <c r="J11" s="16"/>
      <c r="L11"/>
      <c r="M11"/>
      <c r="N11"/>
      <c r="O11"/>
      <c r="P11"/>
      <c r="Q11"/>
      <c r="R11"/>
      <c r="S11"/>
      <c r="T11"/>
      <c r="U11"/>
      <c r="V11"/>
      <c r="W11"/>
    </row>
    <row r="12" spans="1:27" ht="18" outlineLevel="1" x14ac:dyDescent="0.25">
      <c r="A12" s="30"/>
      <c r="B12" s="30"/>
      <c r="C12" s="74">
        <f>--NOT(OR(H12="",H12&lt;0))</f>
        <v>1</v>
      </c>
      <c r="D12" s="82" t="s">
        <v>40</v>
      </c>
      <c r="E12" s="107" t="s">
        <v>41</v>
      </c>
      <c r="F12" s="2" t="s">
        <v>42</v>
      </c>
      <c r="G12" s="3" t="s">
        <v>43</v>
      </c>
      <c r="H12" s="79">
        <v>40</v>
      </c>
    </row>
    <row r="13" spans="1:27" ht="18" outlineLevel="1" x14ac:dyDescent="0.25">
      <c r="A13" s="30"/>
      <c r="B13" s="30"/>
      <c r="C13" s="74">
        <f>--NOT(OR(H13="",H13&lt;0))</f>
        <v>1</v>
      </c>
      <c r="D13" t="s">
        <v>44</v>
      </c>
      <c r="E13" s="107" t="s">
        <v>45</v>
      </c>
      <c r="F13" s="2" t="s">
        <v>42</v>
      </c>
      <c r="G13" s="3" t="s">
        <v>46</v>
      </c>
      <c r="H13" s="79">
        <v>80</v>
      </c>
    </row>
    <row r="14" spans="1:27" ht="18" outlineLevel="1" x14ac:dyDescent="0.25">
      <c r="A14" s="30"/>
      <c r="B14" s="30"/>
      <c r="C14" s="74">
        <f>--NOT(OR(H14="",H14&lt;0))</f>
        <v>1</v>
      </c>
      <c r="D14" t="s">
        <v>47</v>
      </c>
      <c r="E14" s="103" t="s">
        <v>48</v>
      </c>
      <c r="F14" s="2" t="s">
        <v>49</v>
      </c>
      <c r="G14" s="3" t="s">
        <v>50</v>
      </c>
      <c r="H14" s="79">
        <v>4000000</v>
      </c>
    </row>
    <row r="15" spans="1:27" outlineLevel="1" x14ac:dyDescent="0.25">
      <c r="A15"/>
      <c r="B15"/>
      <c r="C15"/>
    </row>
    <row r="16" spans="1:27" ht="18" outlineLevel="1" x14ac:dyDescent="0.25">
      <c r="A16" s="30"/>
      <c r="B16" s="30"/>
      <c r="C16" s="74">
        <f>--AND(--NOT(J16=""),--NOT(K16=""),--NOT(L16=""),--NOT(M16=""))</f>
        <v>1</v>
      </c>
      <c r="D16" t="s">
        <v>51</v>
      </c>
      <c r="E16" s="103" t="s">
        <v>52</v>
      </c>
      <c r="F16" s="2" t="s">
        <v>53</v>
      </c>
      <c r="G16" s="3" t="s">
        <v>54</v>
      </c>
      <c r="H16" s="76"/>
      <c r="J16" s="81">
        <v>1500000</v>
      </c>
      <c r="K16" s="81">
        <v>1000000</v>
      </c>
      <c r="L16" s="81">
        <v>6000000</v>
      </c>
      <c r="M16" s="81">
        <v>4000000</v>
      </c>
    </row>
    <row r="17" spans="1:23" outlineLevel="1" x14ac:dyDescent="0.25">
      <c r="A17" s="30"/>
      <c r="B17" s="30"/>
      <c r="C17" s="74"/>
      <c r="E17" s="103"/>
      <c r="F17" s="2"/>
      <c r="G17" s="3"/>
      <c r="H17" s="3"/>
      <c r="J17" s="3"/>
      <c r="K17" s="3"/>
      <c r="L17" s="3"/>
      <c r="M17" s="3"/>
    </row>
    <row r="18" spans="1:23" ht="18" outlineLevel="1" x14ac:dyDescent="0.25">
      <c r="A18" s="30"/>
      <c r="B18" s="30"/>
      <c r="C18" s="74">
        <f>--AND(--NOT(J18=""),--NOT(K18=""),--NOT(L18=""),--NOT(M18=""))</f>
        <v>1</v>
      </c>
      <c r="D18" t="s">
        <v>55</v>
      </c>
      <c r="E18" s="103" t="s">
        <v>56</v>
      </c>
      <c r="F18" s="2" t="s">
        <v>57</v>
      </c>
      <c r="G18" s="3" t="s">
        <v>58</v>
      </c>
      <c r="H18" s="76"/>
      <c r="J18" s="81">
        <v>60000</v>
      </c>
      <c r="K18" s="81">
        <v>50000</v>
      </c>
      <c r="L18" s="81">
        <v>60000</v>
      </c>
      <c r="M18" s="81">
        <v>100000</v>
      </c>
    </row>
    <row r="19" spans="1:23" outlineLevel="1" x14ac:dyDescent="0.25">
      <c r="A19" s="30"/>
      <c r="B19" s="30"/>
      <c r="C19" s="74">
        <f>--AND(--NOT(J19=""),--NOT(K19=""),--NOT(L19=""),--NOT(M19=""))</f>
        <v>1</v>
      </c>
      <c r="D19" t="s">
        <v>59</v>
      </c>
      <c r="E19" s="103"/>
      <c r="F19" s="2" t="s">
        <v>42</v>
      </c>
      <c r="G19" s="3"/>
      <c r="H19" s="76"/>
      <c r="J19" s="89">
        <f>J16/J18</f>
        <v>25</v>
      </c>
      <c r="K19" s="89">
        <f t="shared" ref="K19:M19" si="0">K16/K18</f>
        <v>20</v>
      </c>
      <c r="L19" s="89">
        <f t="shared" si="0"/>
        <v>100</v>
      </c>
      <c r="M19" s="89">
        <f t="shared" si="0"/>
        <v>40</v>
      </c>
    </row>
    <row r="20" spans="1:23" x14ac:dyDescent="0.25">
      <c r="A20" s="30"/>
      <c r="B20" s="30"/>
      <c r="C20" s="74"/>
      <c r="F20" s="2"/>
      <c r="G20" s="25"/>
      <c r="H20" s="22"/>
      <c r="J20" s="22"/>
      <c r="K20" s="22"/>
      <c r="L20" s="22"/>
      <c r="M20" s="22"/>
    </row>
    <row r="21" spans="1:23" s="14" customFormat="1" x14ac:dyDescent="0.25">
      <c r="B21" s="14" t="s">
        <v>30</v>
      </c>
      <c r="C21" s="113">
        <v>3.2</v>
      </c>
      <c r="D21" s="114" t="s">
        <v>60</v>
      </c>
      <c r="E21" s="115" t="s">
        <v>32</v>
      </c>
      <c r="F21" s="116" t="s">
        <v>33</v>
      </c>
      <c r="G21" s="116" t="s">
        <v>34</v>
      </c>
      <c r="H21" s="116" t="s">
        <v>61</v>
      </c>
      <c r="I21" s="116"/>
      <c r="J21" s="116"/>
      <c r="K21" s="116"/>
      <c r="L21" s="116"/>
      <c r="M21" s="116"/>
      <c r="N21" s="116"/>
      <c r="O21"/>
      <c r="P21"/>
      <c r="Q21"/>
      <c r="R21"/>
      <c r="S21"/>
      <c r="T21"/>
      <c r="U21"/>
      <c r="V21"/>
      <c r="W21"/>
    </row>
    <row r="22" spans="1:23" s="14" customFormat="1" outlineLevel="1" x14ac:dyDescent="0.25">
      <c r="A22" s="17"/>
      <c r="B22" s="17"/>
      <c r="C22" s="17"/>
      <c r="D22" s="13"/>
      <c r="E22" s="108"/>
      <c r="F22" s="16"/>
      <c r="G22" s="16"/>
      <c r="H22"/>
      <c r="I22"/>
      <c r="J22" s="16"/>
      <c r="L22"/>
      <c r="M22"/>
      <c r="N22"/>
      <c r="O22"/>
      <c r="P22"/>
      <c r="Q22"/>
      <c r="R22"/>
      <c r="S22"/>
      <c r="T22"/>
      <c r="U22"/>
      <c r="V22"/>
      <c r="W22"/>
    </row>
    <row r="23" spans="1:23" ht="15.75" outlineLevel="1" thickBot="1" x14ac:dyDescent="0.3">
      <c r="D23" s="77" t="s">
        <v>62</v>
      </c>
      <c r="E23" s="109"/>
      <c r="F23" s="78"/>
      <c r="G23" s="78"/>
      <c r="H23" s="78"/>
      <c r="L23" s="7"/>
      <c r="M23" s="7"/>
    </row>
    <row r="24" spans="1:23" outlineLevel="1" x14ac:dyDescent="0.25">
      <c r="D24" s="7"/>
      <c r="E24" s="103"/>
      <c r="F24" s="2"/>
      <c r="G24" s="3"/>
      <c r="H24" s="3"/>
      <c r="J24" s="7"/>
      <c r="L24" s="7"/>
      <c r="M24" s="7"/>
    </row>
    <row r="25" spans="1:23" ht="18" outlineLevel="1" x14ac:dyDescent="0.25">
      <c r="D25" s="7" t="s">
        <v>63</v>
      </c>
      <c r="E25" s="103" t="s">
        <v>64</v>
      </c>
      <c r="F25" s="2" t="s">
        <v>65</v>
      </c>
      <c r="G25" s="61" t="s">
        <v>66</v>
      </c>
      <c r="H25" s="1">
        <f>∑CQPAFY</f>
        <v>1710000</v>
      </c>
      <c r="J25" s="12"/>
    </row>
    <row r="26" spans="1:23" outlineLevel="1" x14ac:dyDescent="0.25">
      <c r="D26" s="96" t="s">
        <v>67</v>
      </c>
      <c r="E26" s="103"/>
      <c r="F26" s="2"/>
      <c r="G26" s="3"/>
      <c r="L26" s="13"/>
    </row>
    <row r="27" spans="1:23" ht="18" outlineLevel="1" x14ac:dyDescent="0.25">
      <c r="D27" s="7" t="s">
        <v>68</v>
      </c>
      <c r="E27" s="103" t="s">
        <v>69</v>
      </c>
      <c r="F27" s="2" t="s">
        <v>65</v>
      </c>
      <c r="G27" s="61" t="s">
        <v>70</v>
      </c>
      <c r="H27" s="1">
        <f>∑OQPAFY</f>
        <v>600000</v>
      </c>
      <c r="J27" s="12"/>
    </row>
    <row r="28" spans="1:23" outlineLevel="1" x14ac:dyDescent="0.25">
      <c r="D28" s="96" t="s">
        <v>71</v>
      </c>
      <c r="E28" s="103"/>
      <c r="F28" s="2"/>
      <c r="G28" s="3"/>
      <c r="H28" s="6"/>
      <c r="I28" s="3"/>
      <c r="J28" s="12"/>
      <c r="M28" s="53"/>
      <c r="N28" s="84"/>
    </row>
    <row r="29" spans="1:23" ht="18" outlineLevel="1" x14ac:dyDescent="0.25">
      <c r="D29" s="7" t="s">
        <v>62</v>
      </c>
      <c r="E29" s="103" t="s">
        <v>72</v>
      </c>
      <c r="F29" s="2" t="s">
        <v>73</v>
      </c>
      <c r="G29" s="3" t="s">
        <v>74</v>
      </c>
      <c r="H29" s="1">
        <f>Calculations!M66-Calculations!M68-Calculations!M70</f>
        <v>-1110000</v>
      </c>
      <c r="L29" s="13"/>
      <c r="M29" s="6"/>
    </row>
    <row r="30" spans="1:23" outlineLevel="1" x14ac:dyDescent="0.25">
      <c r="D30" s="96" t="s">
        <v>67</v>
      </c>
      <c r="E30" s="103"/>
      <c r="F30" s="2"/>
      <c r="G30" s="3"/>
      <c r="L30" s="13"/>
      <c r="M30" s="6"/>
    </row>
    <row r="31" spans="1:23" outlineLevel="1" x14ac:dyDescent="0.25">
      <c r="D31" s="7" t="s">
        <v>75</v>
      </c>
      <c r="E31" s="103"/>
      <c r="F31" s="2" t="s">
        <v>49</v>
      </c>
      <c r="G31" s="3"/>
      <c r="H31" s="1">
        <f>∑CQPAFY-∑OQPAFY+AAAFY</f>
        <v>0</v>
      </c>
      <c r="L31" s="13"/>
      <c r="M31" s="6"/>
    </row>
    <row r="32" spans="1:23" outlineLevel="1" x14ac:dyDescent="0.25">
      <c r="D32" s="96" t="s">
        <v>67</v>
      </c>
      <c r="E32" s="103"/>
      <c r="F32" s="2"/>
      <c r="G32" s="3"/>
      <c r="H32" s="6"/>
      <c r="I32" s="3"/>
      <c r="J32" s="12"/>
      <c r="M32" s="53"/>
      <c r="N32" s="84"/>
    </row>
    <row r="33" spans="1:23" x14ac:dyDescent="0.25">
      <c r="A33" s="30"/>
      <c r="B33" s="30"/>
      <c r="C33" s="30"/>
    </row>
    <row r="34" spans="1:23" s="14" customFormat="1" x14ac:dyDescent="0.25">
      <c r="B34" s="14" t="s">
        <v>30</v>
      </c>
      <c r="C34" s="113">
        <v>3.3</v>
      </c>
      <c r="D34" s="114" t="s">
        <v>76</v>
      </c>
      <c r="E34" s="115"/>
      <c r="F34" s="116"/>
      <c r="G34" s="116"/>
      <c r="H34" s="116"/>
      <c r="I34" s="116"/>
      <c r="J34" s="116"/>
      <c r="K34" s="116"/>
      <c r="L34" s="116"/>
      <c r="M34" s="116"/>
      <c r="N34" s="116"/>
      <c r="O34"/>
      <c r="P34"/>
      <c r="Q34"/>
      <c r="R34"/>
      <c r="S34"/>
      <c r="T34"/>
      <c r="U34"/>
      <c r="V34"/>
      <c r="W34"/>
    </row>
    <row r="35" spans="1:23" s="14" customFormat="1" x14ac:dyDescent="0.25">
      <c r="A35" s="17"/>
      <c r="B35" s="17"/>
      <c r="C35" s="17"/>
      <c r="D35" s="15"/>
      <c r="E35" s="15"/>
      <c r="F35" s="16"/>
      <c r="G35" s="16"/>
      <c r="H35"/>
      <c r="I35"/>
      <c r="J35" s="16"/>
      <c r="L35"/>
      <c r="M35"/>
      <c r="N35"/>
      <c r="O35"/>
      <c r="P35"/>
      <c r="Q35"/>
      <c r="R35"/>
      <c r="S35"/>
      <c r="T35"/>
      <c r="U35"/>
      <c r="V35"/>
      <c r="W35"/>
    </row>
    <row r="36" spans="1:23" s="14" customFormat="1" x14ac:dyDescent="0.25">
      <c r="A36" s="17"/>
      <c r="B36" s="17"/>
      <c r="C36" s="17"/>
      <c r="D36" s="13"/>
      <c r="E36" s="15"/>
      <c r="F36" s="16"/>
      <c r="G36" s="16"/>
      <c r="H36" s="95"/>
      <c r="I36"/>
      <c r="J36" s="16"/>
      <c r="L36"/>
      <c r="M36"/>
      <c r="N36"/>
      <c r="O36"/>
      <c r="P36"/>
      <c r="Q36"/>
      <c r="R36"/>
      <c r="S36"/>
      <c r="T36"/>
      <c r="U36"/>
      <c r="V36"/>
      <c r="W36"/>
    </row>
    <row r="37" spans="1:23" s="14" customFormat="1" x14ac:dyDescent="0.25">
      <c r="A37" s="17"/>
      <c r="B37" s="17"/>
      <c r="C37" s="17"/>
      <c r="D37" s="13"/>
      <c r="E37" s="15"/>
      <c r="F37" s="16"/>
      <c r="G37" s="16"/>
      <c r="H37"/>
      <c r="I37"/>
      <c r="J37" s="16"/>
      <c r="L37"/>
      <c r="M37"/>
      <c r="N37"/>
      <c r="O37"/>
      <c r="P37"/>
      <c r="Q37"/>
      <c r="R37"/>
      <c r="S37"/>
      <c r="T37"/>
      <c r="U37"/>
      <c r="V37"/>
      <c r="W37"/>
    </row>
    <row r="38" spans="1:23" s="14" customFormat="1" x14ac:dyDescent="0.25">
      <c r="A38" s="17"/>
      <c r="B38" s="17"/>
      <c r="C38" s="17"/>
      <c r="D38" s="13"/>
      <c r="E38" s="15"/>
      <c r="F38" s="16"/>
      <c r="G38" s="16"/>
      <c r="H38"/>
      <c r="I38"/>
      <c r="J38" s="16"/>
      <c r="L38"/>
      <c r="M38"/>
      <c r="N38"/>
      <c r="O38"/>
      <c r="P38"/>
      <c r="Q38"/>
      <c r="R38"/>
      <c r="S38"/>
      <c r="T38"/>
      <c r="U38"/>
      <c r="V38"/>
      <c r="W38"/>
    </row>
    <row r="39" spans="1:23" s="14" customFormat="1" x14ac:dyDescent="0.25">
      <c r="A39" s="17"/>
      <c r="B39" s="17"/>
      <c r="C39" s="17"/>
      <c r="D39" s="13"/>
      <c r="E39" s="15"/>
      <c r="F39" s="16"/>
      <c r="G39" s="16"/>
      <c r="H39"/>
      <c r="I39"/>
      <c r="J39" s="16"/>
      <c r="L39"/>
      <c r="M39"/>
      <c r="N39"/>
      <c r="O39"/>
      <c r="P39"/>
      <c r="Q39"/>
      <c r="R39"/>
      <c r="S39"/>
      <c r="T39"/>
      <c r="U39"/>
      <c r="V39"/>
      <c r="W39"/>
    </row>
    <row r="40" spans="1:23" s="14" customFormat="1" x14ac:dyDescent="0.25">
      <c r="A40" s="17"/>
      <c r="B40" s="17"/>
      <c r="C40" s="17"/>
      <c r="D40" s="13"/>
      <c r="E40" s="15"/>
      <c r="F40" s="16"/>
      <c r="G40" s="16"/>
      <c r="H40"/>
      <c r="I40"/>
      <c r="J40" s="16"/>
      <c r="L40"/>
      <c r="M40"/>
      <c r="N40"/>
      <c r="O40"/>
      <c r="P40"/>
      <c r="Q40"/>
      <c r="R40"/>
      <c r="S40"/>
      <c r="T40"/>
      <c r="U40"/>
      <c r="V40"/>
      <c r="W40"/>
    </row>
    <row r="41" spans="1:23" s="14" customFormat="1" x14ac:dyDescent="0.25">
      <c r="A41" s="17"/>
      <c r="B41" s="17"/>
      <c r="C41" s="17"/>
      <c r="D41" s="13"/>
      <c r="E41" s="15"/>
      <c r="F41" s="16"/>
      <c r="G41" s="16"/>
      <c r="H41"/>
      <c r="I41"/>
      <c r="J41" s="16"/>
      <c r="L41"/>
      <c r="M41"/>
      <c r="N41"/>
      <c r="O41"/>
      <c r="P41"/>
      <c r="Q41"/>
      <c r="R41"/>
      <c r="S41"/>
      <c r="T41"/>
      <c r="U41"/>
      <c r="V41"/>
      <c r="W41"/>
    </row>
    <row r="42" spans="1:23" s="14" customFormat="1" x14ac:dyDescent="0.25">
      <c r="A42" s="17"/>
      <c r="B42" s="17"/>
      <c r="C42" s="17"/>
      <c r="D42" s="13"/>
      <c r="E42" s="15"/>
      <c r="F42" s="16"/>
      <c r="G42" s="16"/>
      <c r="H42"/>
      <c r="I42"/>
      <c r="J42" s="16"/>
      <c r="L42"/>
      <c r="M42"/>
      <c r="N42"/>
      <c r="O42"/>
      <c r="P42"/>
      <c r="Q42"/>
      <c r="R42"/>
      <c r="S42"/>
      <c r="T42"/>
      <c r="U42"/>
      <c r="V42"/>
      <c r="W42"/>
    </row>
    <row r="43" spans="1:23" s="14" customFormat="1" x14ac:dyDescent="0.25">
      <c r="A43" s="17"/>
      <c r="B43" s="17"/>
      <c r="C43" s="17"/>
      <c r="D43" s="13"/>
      <c r="E43" s="15"/>
      <c r="F43" s="16"/>
      <c r="G43" s="16"/>
      <c r="H43"/>
      <c r="I43"/>
      <c r="J43" s="16"/>
      <c r="L43"/>
      <c r="M43"/>
      <c r="N43"/>
      <c r="O43"/>
      <c r="P43"/>
      <c r="Q43"/>
      <c r="R43"/>
      <c r="S43"/>
      <c r="T43"/>
      <c r="U43"/>
      <c r="V43"/>
      <c r="W43"/>
    </row>
    <row r="44" spans="1:23" s="14" customFormat="1" x14ac:dyDescent="0.25">
      <c r="A44" s="17"/>
      <c r="B44" s="17"/>
      <c r="C44" s="17"/>
      <c r="D44" s="13"/>
      <c r="E44" s="15"/>
      <c r="F44" s="16"/>
      <c r="G44" s="16"/>
      <c r="I44"/>
      <c r="J44" s="16"/>
      <c r="L44"/>
      <c r="M44"/>
      <c r="N44"/>
      <c r="O44"/>
      <c r="P44"/>
      <c r="Q44"/>
      <c r="R44"/>
      <c r="S44"/>
      <c r="T44"/>
      <c r="U44"/>
      <c r="V44"/>
      <c r="W44"/>
    </row>
    <row r="45" spans="1:23" s="14" customFormat="1" x14ac:dyDescent="0.25">
      <c r="A45" s="17"/>
      <c r="B45" s="17"/>
      <c r="C45" s="17"/>
      <c r="D45" s="13"/>
      <c r="E45" s="15"/>
      <c r="F45" s="16"/>
      <c r="G45" s="16"/>
      <c r="I45"/>
      <c r="J45" s="16"/>
      <c r="L45"/>
      <c r="M45"/>
      <c r="N45"/>
      <c r="O45"/>
      <c r="P45"/>
      <c r="Q45"/>
      <c r="R45"/>
      <c r="S45"/>
      <c r="T45"/>
      <c r="U45"/>
      <c r="V45"/>
      <c r="W45"/>
    </row>
    <row r="46" spans="1:23" s="14" customFormat="1" x14ac:dyDescent="0.25">
      <c r="A46" s="17"/>
      <c r="B46" s="17"/>
      <c r="C46" s="17"/>
      <c r="D46" s="13"/>
      <c r="E46" s="15"/>
      <c r="F46" s="16"/>
      <c r="G46" s="16"/>
      <c r="H46" s="95"/>
      <c r="I46"/>
      <c r="J46" s="16"/>
      <c r="L46"/>
      <c r="M46"/>
      <c r="N46"/>
      <c r="O46"/>
      <c r="P46"/>
      <c r="Q46"/>
      <c r="R46"/>
      <c r="S46"/>
      <c r="T46"/>
      <c r="U46"/>
      <c r="V46"/>
      <c r="W46"/>
    </row>
    <row r="47" spans="1:23" s="14" customFormat="1" x14ac:dyDescent="0.25">
      <c r="A47" s="17"/>
      <c r="B47" s="17"/>
      <c r="C47" s="17"/>
      <c r="D47" s="13"/>
      <c r="E47" s="15"/>
      <c r="F47" s="16"/>
      <c r="G47" s="16"/>
      <c r="H47"/>
      <c r="I47"/>
      <c r="J47" s="16"/>
      <c r="L47"/>
      <c r="M47"/>
      <c r="N47"/>
      <c r="O47"/>
      <c r="P47"/>
      <c r="Q47"/>
      <c r="R47"/>
      <c r="S47"/>
      <c r="T47"/>
      <c r="U47"/>
      <c r="V47"/>
      <c r="W47"/>
    </row>
    <row r="48" spans="1:23" s="14" customFormat="1" x14ac:dyDescent="0.25">
      <c r="A48" s="17"/>
      <c r="B48" s="17"/>
      <c r="C48" s="17"/>
      <c r="D48" s="13"/>
      <c r="E48" s="15"/>
      <c r="F48" s="16"/>
      <c r="G48" s="16"/>
      <c r="H48"/>
      <c r="I48"/>
      <c r="J48" s="16"/>
      <c r="L48"/>
      <c r="M48"/>
      <c r="N48"/>
      <c r="O48"/>
      <c r="P48"/>
      <c r="Q48"/>
      <c r="R48"/>
      <c r="S48"/>
      <c r="T48"/>
      <c r="U48"/>
      <c r="V48"/>
      <c r="W48"/>
    </row>
    <row r="49" spans="1:23" s="14" customFormat="1" x14ac:dyDescent="0.25">
      <c r="A49" s="17"/>
      <c r="B49" s="17"/>
      <c r="C49" s="17"/>
      <c r="D49" s="13"/>
      <c r="E49" s="15"/>
      <c r="F49" s="16"/>
      <c r="G49" s="16"/>
      <c r="H49"/>
      <c r="I49"/>
      <c r="J49" s="16"/>
      <c r="L49"/>
      <c r="M49"/>
      <c r="N49"/>
      <c r="O49"/>
      <c r="P49"/>
      <c r="Q49"/>
      <c r="R49"/>
      <c r="S49"/>
      <c r="T49"/>
      <c r="U49"/>
      <c r="V49"/>
      <c r="W49"/>
    </row>
    <row r="50" spans="1:23" s="14" customFormat="1" x14ac:dyDescent="0.25">
      <c r="A50" s="17"/>
      <c r="B50" s="17"/>
      <c r="C50" s="17"/>
      <c r="D50" s="13"/>
      <c r="E50" s="15"/>
      <c r="F50" s="16"/>
      <c r="G50" s="16"/>
      <c r="H50"/>
      <c r="I50"/>
      <c r="J50" s="16"/>
      <c r="L50"/>
      <c r="M50"/>
      <c r="N50"/>
      <c r="O50"/>
      <c r="P50"/>
      <c r="Q50"/>
      <c r="R50"/>
      <c r="S50"/>
      <c r="T50"/>
      <c r="U50"/>
      <c r="V50"/>
      <c r="W50"/>
    </row>
    <row r="51" spans="1:23" s="14" customFormat="1" x14ac:dyDescent="0.25">
      <c r="A51" s="17"/>
      <c r="B51" s="17"/>
      <c r="C51" s="17"/>
      <c r="D51" s="13"/>
      <c r="E51" s="15"/>
      <c r="F51" s="16"/>
      <c r="G51" s="16"/>
      <c r="H51"/>
      <c r="I51"/>
      <c r="J51" s="16"/>
      <c r="L51"/>
      <c r="M51"/>
      <c r="N51"/>
      <c r="O51"/>
      <c r="P51"/>
      <c r="Q51"/>
      <c r="R51"/>
      <c r="S51"/>
      <c r="T51"/>
      <c r="U51"/>
      <c r="V51"/>
      <c r="W51"/>
    </row>
    <row r="52" spans="1:23" s="14" customFormat="1" x14ac:dyDescent="0.25">
      <c r="A52" s="17"/>
      <c r="B52" s="17"/>
      <c r="C52" s="17"/>
      <c r="D52" s="13"/>
      <c r="E52" s="15"/>
      <c r="F52" s="16"/>
      <c r="G52" s="16"/>
      <c r="H52"/>
      <c r="I52"/>
      <c r="J52" s="16"/>
      <c r="L52"/>
      <c r="M52"/>
      <c r="N52"/>
      <c r="O52"/>
      <c r="P52"/>
      <c r="Q52"/>
      <c r="R52"/>
      <c r="S52"/>
      <c r="T52"/>
      <c r="U52"/>
      <c r="V52"/>
      <c r="W52"/>
    </row>
    <row r="53" spans="1:23" s="14" customFormat="1" x14ac:dyDescent="0.25">
      <c r="A53" s="17"/>
      <c r="B53" s="17"/>
      <c r="C53" s="17"/>
      <c r="D53" s="13"/>
      <c r="E53" s="15"/>
      <c r="F53" s="16"/>
      <c r="G53" s="16"/>
      <c r="H53"/>
      <c r="I53"/>
      <c r="J53" s="16"/>
      <c r="L53"/>
      <c r="M53"/>
      <c r="N53"/>
      <c r="O53"/>
      <c r="P53"/>
      <c r="Q53"/>
      <c r="R53"/>
      <c r="S53"/>
      <c r="T53"/>
      <c r="U53"/>
      <c r="V53"/>
      <c r="W53"/>
    </row>
    <row r="54" spans="1:23" s="14" customFormat="1" x14ac:dyDescent="0.25">
      <c r="A54" s="17"/>
      <c r="B54" s="17"/>
      <c r="C54" s="17"/>
      <c r="D54" s="13"/>
      <c r="E54" s="15"/>
      <c r="F54" s="16"/>
      <c r="G54" s="16"/>
      <c r="H54"/>
      <c r="I54"/>
      <c r="J54" s="16"/>
      <c r="L54"/>
      <c r="M54"/>
      <c r="N54"/>
      <c r="O54"/>
      <c r="P54"/>
      <c r="Q54"/>
      <c r="R54"/>
      <c r="S54"/>
      <c r="T54"/>
      <c r="U54"/>
      <c r="V54"/>
      <c r="W54"/>
    </row>
    <row r="55" spans="1:23" s="14" customFormat="1" x14ac:dyDescent="0.25">
      <c r="A55" s="17"/>
      <c r="B55" s="17"/>
      <c r="C55" s="17"/>
      <c r="D55" s="13"/>
      <c r="E55" s="15"/>
      <c r="F55" s="16"/>
      <c r="G55" s="16"/>
      <c r="H55"/>
      <c r="I55"/>
      <c r="J55" s="16"/>
      <c r="L55"/>
      <c r="M55"/>
      <c r="N55"/>
      <c r="O55"/>
      <c r="P55"/>
      <c r="Q55"/>
      <c r="R55"/>
      <c r="S55"/>
      <c r="T55"/>
      <c r="U55"/>
      <c r="V55"/>
      <c r="W55"/>
    </row>
    <row r="56" spans="1:23" s="14" customFormat="1" x14ac:dyDescent="0.25">
      <c r="A56" s="17"/>
      <c r="B56" s="17"/>
      <c r="C56" s="17"/>
      <c r="D56" s="13"/>
      <c r="E56" s="15"/>
      <c r="F56" s="16"/>
      <c r="G56" s="16"/>
      <c r="H56"/>
      <c r="I56"/>
      <c r="J56" s="16"/>
      <c r="L56"/>
      <c r="M56"/>
      <c r="N56"/>
      <c r="O56"/>
      <c r="P56"/>
      <c r="Q56"/>
      <c r="R56"/>
      <c r="S56"/>
      <c r="T56"/>
      <c r="U56"/>
      <c r="V56"/>
      <c r="W56"/>
    </row>
    <row r="57" spans="1:23" s="14" customFormat="1" x14ac:dyDescent="0.25">
      <c r="A57" s="17"/>
      <c r="B57" s="17"/>
      <c r="C57" s="17"/>
      <c r="D57" s="13"/>
      <c r="E57" s="15"/>
      <c r="F57" s="16"/>
      <c r="G57" s="16"/>
      <c r="H57"/>
      <c r="I57"/>
      <c r="J57" s="16"/>
      <c r="L57"/>
      <c r="M57"/>
      <c r="N57"/>
      <c r="O57"/>
      <c r="P57"/>
      <c r="Q57"/>
      <c r="R57"/>
      <c r="S57"/>
      <c r="T57"/>
      <c r="U57"/>
      <c r="V57"/>
      <c r="W57"/>
    </row>
    <row r="58" spans="1:23" s="14" customFormat="1" x14ac:dyDescent="0.25">
      <c r="A58" s="17"/>
      <c r="B58" s="17"/>
      <c r="C58" s="17"/>
      <c r="D58" s="13"/>
      <c r="E58" s="15"/>
      <c r="F58" s="16"/>
      <c r="G58" s="16"/>
      <c r="I58"/>
      <c r="J58" s="16"/>
      <c r="L58"/>
      <c r="M58"/>
      <c r="N58"/>
      <c r="O58"/>
      <c r="P58"/>
      <c r="Q58"/>
      <c r="R58"/>
      <c r="S58"/>
      <c r="T58"/>
      <c r="U58"/>
      <c r="V58"/>
      <c r="W58"/>
    </row>
    <row r="59" spans="1:23" s="14" customFormat="1" x14ac:dyDescent="0.25">
      <c r="A59" s="17"/>
      <c r="B59" s="17"/>
      <c r="C59" s="17"/>
      <c r="D59" s="15"/>
      <c r="E59" s="15"/>
      <c r="F59" s="16"/>
      <c r="G59" s="16"/>
      <c r="H59"/>
      <c r="I59"/>
      <c r="J59" s="16"/>
      <c r="L59"/>
      <c r="M59"/>
      <c r="N59"/>
      <c r="O59"/>
      <c r="P59"/>
      <c r="Q59"/>
      <c r="R59"/>
      <c r="S59"/>
      <c r="T59"/>
      <c r="U59"/>
      <c r="V59"/>
      <c r="W59"/>
    </row>
    <row r="60" spans="1:23" s="14" customFormat="1" x14ac:dyDescent="0.25">
      <c r="A60" s="17"/>
      <c r="B60" s="17"/>
      <c r="C60" s="17"/>
      <c r="D60" s="13"/>
      <c r="E60" s="15"/>
      <c r="F60" s="16"/>
      <c r="G60" s="16"/>
      <c r="H60" s="95"/>
      <c r="I60"/>
      <c r="J60" s="16"/>
      <c r="L60"/>
      <c r="M60"/>
      <c r="N60"/>
      <c r="O60"/>
      <c r="P60"/>
      <c r="Q60"/>
      <c r="R60"/>
      <c r="S60"/>
      <c r="T60"/>
      <c r="U60"/>
      <c r="V60"/>
      <c r="W60"/>
    </row>
    <row r="61" spans="1:23" s="14" customFormat="1" x14ac:dyDescent="0.25">
      <c r="A61" s="17"/>
      <c r="B61" s="17"/>
      <c r="C61" s="17"/>
      <c r="D61" s="13"/>
      <c r="E61" s="15"/>
      <c r="F61" s="16"/>
      <c r="G61" s="16"/>
      <c r="H61"/>
      <c r="I61"/>
      <c r="J61" s="16"/>
      <c r="L61"/>
      <c r="M61"/>
      <c r="N61"/>
      <c r="O61"/>
      <c r="P61"/>
      <c r="Q61"/>
      <c r="R61"/>
      <c r="S61"/>
      <c r="T61"/>
      <c r="U61"/>
      <c r="V61"/>
      <c r="W61"/>
    </row>
    <row r="62" spans="1:23" s="14" customFormat="1" x14ac:dyDescent="0.25">
      <c r="A62" s="17"/>
      <c r="B62" s="17"/>
      <c r="C62" s="17"/>
      <c r="D62" s="13"/>
      <c r="E62" s="15"/>
      <c r="F62" s="16"/>
      <c r="G62" s="16"/>
      <c r="H62"/>
      <c r="I62"/>
      <c r="J62" s="16"/>
      <c r="L62"/>
      <c r="M62"/>
      <c r="N62"/>
      <c r="O62"/>
      <c r="P62"/>
      <c r="Q62"/>
      <c r="R62"/>
      <c r="S62"/>
      <c r="T62"/>
      <c r="U62"/>
      <c r="V62"/>
      <c r="W62"/>
    </row>
    <row r="63" spans="1:23" s="14" customFormat="1" x14ac:dyDescent="0.25">
      <c r="A63" s="17"/>
      <c r="B63" s="17"/>
      <c r="C63" s="17"/>
      <c r="D63" s="13"/>
      <c r="E63" s="15"/>
      <c r="F63" s="16"/>
      <c r="G63" s="16"/>
      <c r="H63"/>
      <c r="I63"/>
      <c r="J63" s="16"/>
      <c r="L63"/>
      <c r="M63"/>
      <c r="N63"/>
      <c r="O63"/>
      <c r="P63"/>
      <c r="Q63"/>
      <c r="R63"/>
      <c r="S63"/>
      <c r="T63"/>
      <c r="U63"/>
      <c r="V63"/>
      <c r="W63"/>
    </row>
    <row r="64" spans="1:23" s="14" customFormat="1" x14ac:dyDescent="0.25">
      <c r="A64" s="17"/>
      <c r="B64" s="17"/>
      <c r="C64" s="17"/>
      <c r="D64" s="13"/>
      <c r="E64" s="15"/>
      <c r="F64" s="16"/>
      <c r="G64" s="16"/>
      <c r="H64"/>
      <c r="I64"/>
      <c r="J64" s="16"/>
      <c r="L64"/>
      <c r="M64"/>
      <c r="N64"/>
      <c r="O64"/>
      <c r="P64"/>
      <c r="Q64"/>
      <c r="R64"/>
      <c r="S64"/>
      <c r="T64"/>
      <c r="U64"/>
      <c r="V64"/>
      <c r="W64"/>
    </row>
    <row r="65" spans="1:23" s="14" customFormat="1" x14ac:dyDescent="0.25">
      <c r="A65" s="17"/>
      <c r="B65" s="17"/>
      <c r="C65" s="17"/>
      <c r="D65" s="13"/>
      <c r="E65" s="15"/>
      <c r="F65" s="16"/>
      <c r="G65" s="16"/>
      <c r="H65"/>
      <c r="I65"/>
      <c r="J65" s="16"/>
      <c r="L65"/>
      <c r="M65"/>
      <c r="N65"/>
      <c r="O65"/>
      <c r="P65"/>
      <c r="Q65"/>
      <c r="R65"/>
      <c r="S65"/>
      <c r="T65"/>
      <c r="U65"/>
      <c r="V65"/>
      <c r="W65"/>
    </row>
    <row r="66" spans="1:23" s="14" customFormat="1" x14ac:dyDescent="0.25">
      <c r="A66" s="17"/>
      <c r="B66" s="17"/>
      <c r="C66" s="17"/>
      <c r="D66" s="13"/>
      <c r="E66" s="15"/>
      <c r="F66" s="16"/>
      <c r="G66" s="16"/>
      <c r="H66"/>
      <c r="I66"/>
      <c r="J66" s="16"/>
      <c r="L66"/>
      <c r="M66"/>
      <c r="N66"/>
      <c r="O66"/>
      <c r="P66"/>
      <c r="Q66"/>
      <c r="R66"/>
      <c r="S66"/>
      <c r="T66"/>
      <c r="U66"/>
      <c r="V66"/>
      <c r="W66"/>
    </row>
    <row r="67" spans="1:23" s="14" customFormat="1" x14ac:dyDescent="0.25">
      <c r="A67" s="17"/>
      <c r="B67" s="17"/>
      <c r="C67" s="17"/>
      <c r="D67" s="13"/>
      <c r="E67" s="15"/>
      <c r="F67" s="16"/>
      <c r="G67" s="16"/>
      <c r="H67"/>
      <c r="I67"/>
      <c r="J67" s="16"/>
      <c r="L67"/>
      <c r="M67"/>
      <c r="N67"/>
      <c r="O67"/>
      <c r="P67"/>
      <c r="Q67"/>
      <c r="R67"/>
      <c r="S67"/>
      <c r="T67"/>
      <c r="U67"/>
      <c r="V67"/>
      <c r="W67"/>
    </row>
    <row r="68" spans="1:23" s="14" customFormat="1" x14ac:dyDescent="0.25">
      <c r="A68" s="17"/>
      <c r="B68" s="17"/>
      <c r="C68" s="17"/>
      <c r="D68" s="13"/>
      <c r="E68" s="15"/>
      <c r="F68" s="16"/>
      <c r="G68" s="16"/>
      <c r="H68"/>
      <c r="I68"/>
      <c r="J68" s="16"/>
      <c r="L68"/>
      <c r="M68"/>
      <c r="N68"/>
      <c r="O68"/>
      <c r="P68"/>
      <c r="Q68"/>
      <c r="R68"/>
      <c r="S68"/>
      <c r="T68"/>
      <c r="U68"/>
      <c r="V68"/>
      <c r="W68"/>
    </row>
    <row r="69" spans="1:23" s="14" customFormat="1" x14ac:dyDescent="0.25">
      <c r="A69" s="17"/>
      <c r="B69" s="17"/>
      <c r="C69" s="17"/>
      <c r="D69" s="13"/>
      <c r="E69" s="15"/>
      <c r="F69" s="16"/>
      <c r="G69" s="16"/>
      <c r="H69"/>
      <c r="I69"/>
      <c r="J69" s="16"/>
      <c r="L69"/>
      <c r="M69"/>
      <c r="N69"/>
      <c r="O69"/>
      <c r="P69"/>
      <c r="Q69"/>
      <c r="R69"/>
      <c r="S69"/>
      <c r="T69"/>
      <c r="U69"/>
      <c r="V69"/>
      <c r="W69"/>
    </row>
    <row r="70" spans="1:23" s="14" customFormat="1" x14ac:dyDescent="0.25">
      <c r="A70" s="17"/>
      <c r="B70" s="17"/>
      <c r="C70" s="17"/>
      <c r="D70" s="13"/>
      <c r="E70" s="15"/>
      <c r="F70" s="16"/>
      <c r="G70" s="16"/>
      <c r="H70"/>
      <c r="I70"/>
      <c r="J70" s="16"/>
      <c r="L70"/>
      <c r="M70"/>
      <c r="N70"/>
      <c r="O70"/>
      <c r="P70"/>
      <c r="Q70"/>
      <c r="R70"/>
      <c r="S70"/>
      <c r="T70"/>
      <c r="U70"/>
      <c r="V70"/>
      <c r="W70"/>
    </row>
    <row r="71" spans="1:23" s="14" customFormat="1" x14ac:dyDescent="0.25">
      <c r="A71" s="17"/>
      <c r="B71" s="17"/>
      <c r="C71" s="17"/>
      <c r="D71" s="13"/>
      <c r="E71" s="15"/>
      <c r="F71" s="16"/>
      <c r="G71" s="16"/>
      <c r="H71"/>
      <c r="I71"/>
      <c r="J71" s="16"/>
      <c r="L71"/>
      <c r="M71"/>
      <c r="N71"/>
      <c r="O71"/>
      <c r="P71"/>
      <c r="Q71"/>
      <c r="R71"/>
      <c r="S71"/>
      <c r="T71"/>
      <c r="U71"/>
      <c r="V71"/>
      <c r="W71"/>
    </row>
    <row r="72" spans="1:23" s="14" customFormat="1" x14ac:dyDescent="0.25">
      <c r="A72" s="17"/>
      <c r="B72" s="17"/>
      <c r="C72" s="17"/>
      <c r="D72" s="13"/>
      <c r="E72" s="15"/>
      <c r="F72" s="16"/>
      <c r="G72" s="16"/>
      <c r="H72"/>
      <c r="I72"/>
      <c r="J72" s="16"/>
      <c r="L72"/>
      <c r="M72"/>
      <c r="N72"/>
      <c r="O72"/>
      <c r="P72"/>
      <c r="Q72"/>
      <c r="R72"/>
      <c r="S72"/>
      <c r="T72"/>
      <c r="U72"/>
      <c r="V72"/>
      <c r="W72"/>
    </row>
    <row r="73" spans="1:23" s="14" customFormat="1" x14ac:dyDescent="0.25">
      <c r="A73" s="17"/>
      <c r="B73" s="17"/>
      <c r="C73" s="17"/>
      <c r="D73" s="13"/>
      <c r="E73" s="15"/>
      <c r="F73" s="16"/>
      <c r="G73" s="16"/>
      <c r="H73"/>
      <c r="I73"/>
      <c r="J73" s="16"/>
      <c r="L73"/>
      <c r="M73"/>
      <c r="N73"/>
      <c r="O73"/>
      <c r="P73"/>
      <c r="Q73"/>
      <c r="R73"/>
      <c r="S73"/>
      <c r="T73"/>
      <c r="U73"/>
      <c r="V73"/>
      <c r="W73"/>
    </row>
    <row r="74" spans="1:23" s="14" customFormat="1" x14ac:dyDescent="0.25">
      <c r="A74" s="17"/>
      <c r="B74" s="17"/>
      <c r="C74" s="17"/>
      <c r="D74" s="13"/>
      <c r="E74" s="15"/>
      <c r="F74" s="16"/>
      <c r="G74" s="16"/>
      <c r="H74"/>
      <c r="I74"/>
      <c r="J74" s="16"/>
      <c r="L74"/>
      <c r="M74"/>
      <c r="N74"/>
      <c r="O74"/>
      <c r="P74"/>
      <c r="Q74"/>
      <c r="R74"/>
      <c r="S74"/>
      <c r="T74"/>
      <c r="U74"/>
      <c r="V74"/>
      <c r="W74"/>
    </row>
    <row r="75" spans="1:23" s="14" customFormat="1" x14ac:dyDescent="0.25">
      <c r="A75" s="17"/>
      <c r="B75" s="17"/>
      <c r="C75" s="17"/>
      <c r="D75" s="13"/>
      <c r="E75" s="15"/>
      <c r="F75" s="16"/>
      <c r="G75" s="16"/>
      <c r="H75"/>
      <c r="I75"/>
      <c r="J75" s="16"/>
      <c r="L75"/>
      <c r="M75"/>
      <c r="N75"/>
      <c r="O75"/>
      <c r="P75"/>
      <c r="Q75"/>
      <c r="R75"/>
      <c r="S75"/>
      <c r="T75"/>
      <c r="U75"/>
      <c r="V75"/>
      <c r="W75"/>
    </row>
    <row r="76" spans="1:23" s="14" customFormat="1" x14ac:dyDescent="0.25">
      <c r="A76" s="17"/>
      <c r="B76" s="17"/>
      <c r="C76" s="17"/>
      <c r="D76" s="13"/>
      <c r="E76" s="15"/>
      <c r="F76" s="16"/>
      <c r="G76" s="16"/>
      <c r="I76"/>
      <c r="J76" s="16"/>
      <c r="L76"/>
      <c r="M76"/>
      <c r="O76"/>
      <c r="P76"/>
      <c r="Q76"/>
      <c r="R76"/>
      <c r="S76"/>
      <c r="T76"/>
      <c r="U76"/>
      <c r="V76"/>
      <c r="W76"/>
    </row>
    <row r="77" spans="1:23" s="14" customFormat="1" x14ac:dyDescent="0.25">
      <c r="A77" s="17"/>
      <c r="B77" s="17"/>
      <c r="C77" s="17"/>
      <c r="D77" s="13"/>
      <c r="E77" s="15"/>
      <c r="F77" s="16"/>
      <c r="G77" s="16"/>
      <c r="H77"/>
      <c r="I77"/>
      <c r="J77" s="16"/>
      <c r="L77"/>
      <c r="M77"/>
      <c r="N77"/>
      <c r="O77"/>
      <c r="P77"/>
      <c r="Q77"/>
      <c r="R77"/>
      <c r="S77"/>
      <c r="T77"/>
      <c r="U77"/>
      <c r="V77"/>
      <c r="W77"/>
    </row>
    <row r="78" spans="1:23" s="14" customFormat="1" x14ac:dyDescent="0.25">
      <c r="A78" s="17"/>
      <c r="B78" s="17"/>
      <c r="C78" s="17"/>
      <c r="D78" s="13"/>
      <c r="E78" s="15"/>
      <c r="F78" s="16"/>
      <c r="G78" s="16"/>
      <c r="H78"/>
      <c r="I78"/>
      <c r="J78" s="16"/>
      <c r="L78"/>
      <c r="M78"/>
      <c r="N78"/>
      <c r="O78"/>
      <c r="P78"/>
      <c r="Q78"/>
      <c r="R78"/>
      <c r="S78"/>
      <c r="T78"/>
      <c r="U78"/>
      <c r="V78"/>
      <c r="W78"/>
    </row>
    <row r="79" spans="1:23" s="14" customFormat="1" x14ac:dyDescent="0.25">
      <c r="A79" s="17"/>
      <c r="B79" s="17"/>
      <c r="C79" s="17"/>
      <c r="D79" s="13"/>
      <c r="E79" s="15"/>
      <c r="F79" s="16"/>
      <c r="G79" s="16"/>
      <c r="H79"/>
      <c r="I79"/>
      <c r="J79" s="16"/>
      <c r="L79"/>
      <c r="M79"/>
      <c r="N79"/>
      <c r="O79"/>
      <c r="P79"/>
      <c r="Q79"/>
      <c r="R79"/>
      <c r="S79"/>
      <c r="T79"/>
      <c r="U79"/>
      <c r="V79"/>
      <c r="W79"/>
    </row>
    <row r="80" spans="1:23" s="14" customFormat="1" x14ac:dyDescent="0.25">
      <c r="A80" s="17"/>
      <c r="B80" s="17"/>
      <c r="C80" s="17"/>
      <c r="D80" s="13"/>
      <c r="E80" s="15"/>
      <c r="F80" s="16"/>
      <c r="G80" s="16"/>
      <c r="H80"/>
      <c r="I80"/>
      <c r="J80" s="16"/>
      <c r="L80"/>
      <c r="M80"/>
      <c r="N80"/>
      <c r="O80"/>
      <c r="P80"/>
      <c r="Q80"/>
      <c r="R80"/>
      <c r="S80"/>
      <c r="T80"/>
      <c r="U80"/>
      <c r="V80"/>
      <c r="W80"/>
    </row>
    <row r="81" spans="1:24" s="14" customFormat="1" x14ac:dyDescent="0.25">
      <c r="A81" s="17"/>
      <c r="B81" s="17"/>
      <c r="C81" s="17"/>
      <c r="D81" s="13"/>
      <c r="E81" s="15"/>
      <c r="F81" s="16"/>
      <c r="G81" s="16"/>
      <c r="H81"/>
      <c r="I81"/>
      <c r="J81" s="16"/>
      <c r="L81"/>
      <c r="M81"/>
      <c r="N81"/>
      <c r="O81"/>
      <c r="P81"/>
      <c r="Q81"/>
      <c r="R81"/>
      <c r="S81"/>
      <c r="T81"/>
      <c r="U81"/>
      <c r="V81"/>
      <c r="W81"/>
    </row>
    <row r="82" spans="1:24" x14ac:dyDescent="0.25"/>
    <row r="83" spans="1:24" x14ac:dyDescent="0.25"/>
    <row r="84" spans="1:24" x14ac:dyDescent="0.25"/>
    <row r="85" spans="1:24" x14ac:dyDescent="0.25"/>
    <row r="86" spans="1:24" x14ac:dyDescent="0.25"/>
    <row r="87" spans="1:24" x14ac:dyDescent="0.25"/>
    <row r="88" spans="1:24" x14ac:dyDescent="0.25">
      <c r="A88" s="45" t="s">
        <v>1</v>
      </c>
      <c r="B88" s="46"/>
      <c r="C88" s="46"/>
      <c r="D88" s="46"/>
      <c r="E88" s="45"/>
      <c r="F88" s="46"/>
      <c r="G88" s="45"/>
      <c r="H88" s="45"/>
      <c r="I88" s="45"/>
      <c r="J88" s="45"/>
      <c r="K88" s="45"/>
      <c r="L88" s="45"/>
      <c r="M88" s="45"/>
      <c r="N88" s="45"/>
      <c r="O88" s="45"/>
      <c r="P88" s="72"/>
      <c r="Q88" s="72"/>
      <c r="R88" s="72"/>
      <c r="S88" s="72"/>
      <c r="T88" s="72"/>
      <c r="U88" s="72"/>
      <c r="V88" s="72"/>
      <c r="W88" s="72"/>
      <c r="X88" s="72"/>
    </row>
    <row r="89" spans="1:24" hidden="1" x14ac:dyDescent="0.25">
      <c r="A89" s="30"/>
      <c r="B89" s="30"/>
      <c r="C89" s="30"/>
    </row>
    <row r="90" spans="1:24" hidden="1" x14ac:dyDescent="0.25">
      <c r="A90" s="30"/>
      <c r="B90" s="30"/>
      <c r="C90" s="30"/>
    </row>
    <row r="91" spans="1:24" hidden="1" x14ac:dyDescent="0.25">
      <c r="A91" s="30"/>
      <c r="B91" s="30"/>
      <c r="C91" s="30"/>
    </row>
    <row r="92" spans="1:24" hidden="1" x14ac:dyDescent="0.25">
      <c r="A92" s="30"/>
      <c r="B92" s="30"/>
      <c r="C92" s="30"/>
    </row>
    <row r="93" spans="1:24" hidden="1" x14ac:dyDescent="0.25">
      <c r="A93" s="30"/>
      <c r="B93" s="30"/>
      <c r="C93" s="30"/>
    </row>
    <row r="94" spans="1:24" hidden="1" x14ac:dyDescent="0.25">
      <c r="A94" s="30"/>
      <c r="B94" s="30"/>
      <c r="C94" s="30"/>
    </row>
    <row r="95" spans="1:24" hidden="1" x14ac:dyDescent="0.25">
      <c r="A95" s="30"/>
      <c r="B95" s="30"/>
      <c r="C95" s="30"/>
    </row>
    <row r="96" spans="1:24" hidden="1" x14ac:dyDescent="0.25">
      <c r="A96" s="30"/>
      <c r="B96" s="30"/>
      <c r="C96" s="30"/>
    </row>
    <row r="97" spans="1:3" hidden="1" x14ac:dyDescent="0.25">
      <c r="A97" s="30"/>
      <c r="B97" s="30"/>
      <c r="C97" s="30"/>
    </row>
  </sheetData>
  <dataConsolidate/>
  <hyperlinks>
    <hyperlink ref="A1" location="Back_to_Start" display="Back" xr:uid="{35B747A5-1D68-4DAF-860F-316EDE3C207D}"/>
  </hyperlinks>
  <pageMargins left="0.7" right="0.7" top="0.75" bottom="0.75" header="0.3" footer="0.3"/>
  <pageSetup paperSize="9" orientation="portrait" r:id="rId1"/>
  <headerFooter>
    <oddHeader>&amp;C&amp;"Calibri"&amp;12&amp;KFF0000 OFFICIAL&amp;1#_x000D_&amp;"Calibri"&amp;11&amp;K000000&amp;G</oddHeader>
    <oddFooter>&amp;C_x000D_&amp;1#&amp;"Calibri"&amp;12&amp;KFF0000 OFFICIAL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EBE3-D2E0-4251-8B57-AE40BD762463}">
  <sheetPr>
    <tabColor rgb="FF198D7D"/>
    <pageSetUpPr autoPageBreaks="0"/>
  </sheetPr>
  <dimension ref="A1:Z73"/>
  <sheetViews>
    <sheetView showGridLines="0" zoomScale="80" zoomScaleNormal="80" workbookViewId="0"/>
  </sheetViews>
  <sheetFormatPr defaultColWidth="0" defaultRowHeight="15" zeroHeight="1" outlineLevelRow="1" x14ac:dyDescent="0.25"/>
  <cols>
    <col min="1" max="2" width="3.28515625" style="19" customWidth="1"/>
    <col min="3" max="3" width="6.7109375" style="19" bestFit="1" customWidth="1"/>
    <col min="4" max="4" width="113" customWidth="1"/>
    <col min="5" max="5" width="28.140625" style="19" bestFit="1" customWidth="1"/>
    <col min="6" max="6" width="7.7109375" bestFit="1" customWidth="1"/>
    <col min="7" max="7" width="9" bestFit="1" customWidth="1"/>
    <col min="8" max="8" width="12.7109375" customWidth="1"/>
    <col min="9" max="9" width="1" customWidth="1"/>
    <col min="10" max="13" width="11.85546875" customWidth="1"/>
    <col min="14" max="14" width="47.42578125" customWidth="1"/>
    <col min="15" max="15" width="7.42578125" customWidth="1"/>
    <col min="16" max="16" width="8.42578125" hidden="1" customWidth="1"/>
    <col min="17" max="23" width="14.28515625" hidden="1"/>
    <col min="24" max="24" width="6.28515625" hidden="1"/>
    <col min="25" max="26" width="9.28515625" hidden="1"/>
  </cols>
  <sheetData>
    <row r="1" spans="1:26" ht="15.75" x14ac:dyDescent="0.25">
      <c r="A1" s="50" t="s">
        <v>27</v>
      </c>
      <c r="B1" s="30"/>
      <c r="C1" s="33"/>
      <c r="D1" s="32" t="str">
        <f>Model_Name</f>
        <v>Capacity Investment Scheme NEM Generation - Draft</v>
      </c>
      <c r="E1" s="98"/>
      <c r="F1" s="31"/>
      <c r="G1" s="31"/>
      <c r="H1" s="31"/>
      <c r="I1" s="31"/>
      <c r="J1" s="30"/>
      <c r="K1" s="30"/>
      <c r="L1" s="30"/>
      <c r="M1" s="30"/>
      <c r="N1" s="30"/>
      <c r="O1" s="30"/>
      <c r="P1" s="30"/>
    </row>
    <row r="2" spans="1:26" ht="15.75" x14ac:dyDescent="0.25">
      <c r="A2" s="34"/>
      <c r="B2" s="35">
        <f ca="1">_xlfn.SHEET()</f>
        <v>4</v>
      </c>
      <c r="C2" s="35" t="s">
        <v>77</v>
      </c>
      <c r="D2" s="35"/>
      <c r="E2" s="99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x14ac:dyDescent="0.25">
      <c r="A3" s="33"/>
      <c r="B3" s="30"/>
      <c r="C3" s="30"/>
      <c r="D3" s="30"/>
      <c r="E3" s="10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26" x14ac:dyDescent="0.25">
      <c r="A4" s="30"/>
      <c r="B4" s="38"/>
      <c r="C4" s="40"/>
      <c r="D4" s="39"/>
      <c r="E4" s="10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26" x14ac:dyDescent="0.25">
      <c r="A5" s="37"/>
      <c r="B5" s="30"/>
      <c r="C5" s="40"/>
      <c r="D5" s="39"/>
      <c r="E5" s="10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6" x14ac:dyDescent="0.25">
      <c r="A6" s="37"/>
      <c r="B6" s="30"/>
      <c r="C6" s="74">
        <f>--AND($C$10:$C$71)</f>
        <v>1</v>
      </c>
      <c r="D6" s="75" t="str">
        <f>IF(C6,"All key input fields complete","Calculations input incomplete")</f>
        <v>All key input fields complete</v>
      </c>
      <c r="E6" s="10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26" x14ac:dyDescent="0.25">
      <c r="A7" s="37"/>
      <c r="B7" s="30"/>
      <c r="C7" s="39"/>
      <c r="E7" s="10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26" x14ac:dyDescent="0.25">
      <c r="A8" s="37"/>
      <c r="B8" s="30"/>
      <c r="C8" s="30"/>
      <c r="D8" s="49"/>
      <c r="E8" s="10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26" s="14" customFormat="1" x14ac:dyDescent="0.25">
      <c r="A9" s="17"/>
      <c r="B9" s="17"/>
      <c r="C9" s="17"/>
      <c r="D9" s="15"/>
      <c r="E9" s="15"/>
      <c r="F9" s="16"/>
      <c r="G9" s="16"/>
      <c r="H9"/>
      <c r="I9" s="16"/>
      <c r="J9" s="16"/>
      <c r="L9"/>
      <c r="M9"/>
      <c r="N9"/>
      <c r="O9"/>
      <c r="P9"/>
      <c r="Q9"/>
      <c r="R9"/>
      <c r="S9"/>
      <c r="T9"/>
      <c r="U9"/>
      <c r="V9"/>
      <c r="W9"/>
    </row>
    <row r="10" spans="1:26" s="14" customFormat="1" x14ac:dyDescent="0.25">
      <c r="B10" s="14" t="s">
        <v>30</v>
      </c>
      <c r="C10" s="118">
        <v>4.0999999999999996</v>
      </c>
      <c r="D10" s="114" t="s">
        <v>78</v>
      </c>
      <c r="E10" s="115" t="s">
        <v>32</v>
      </c>
      <c r="F10" s="116" t="s">
        <v>33</v>
      </c>
      <c r="G10" s="116" t="s">
        <v>34</v>
      </c>
      <c r="H10" s="116" t="s">
        <v>35</v>
      </c>
      <c r="I10" s="116"/>
      <c r="J10" s="116" t="s">
        <v>36</v>
      </c>
      <c r="K10" s="116" t="s">
        <v>37</v>
      </c>
      <c r="L10" s="116" t="s">
        <v>38</v>
      </c>
      <c r="M10" s="116" t="s">
        <v>39</v>
      </c>
      <c r="N10" s="116" t="s">
        <v>79</v>
      </c>
      <c r="O10"/>
      <c r="P10"/>
      <c r="Q10"/>
      <c r="R10"/>
      <c r="S10"/>
      <c r="T10"/>
      <c r="U10"/>
      <c r="V10"/>
    </row>
    <row r="11" spans="1:26" s="14" customFormat="1" x14ac:dyDescent="0.25">
      <c r="A11" s="17"/>
      <c r="B11" s="17"/>
      <c r="C11" s="17"/>
      <c r="D11" s="15"/>
      <c r="E11" s="15"/>
      <c r="F11" s="16"/>
      <c r="G11" s="16"/>
      <c r="H11" s="16"/>
      <c r="I11" s="16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6" s="8" customFormat="1" x14ac:dyDescent="0.25">
      <c r="A12" s="20"/>
      <c r="C12" s="123" t="s">
        <v>80</v>
      </c>
      <c r="D12" s="123" t="s">
        <v>81</v>
      </c>
      <c r="E12" s="124"/>
      <c r="F12" s="125"/>
      <c r="G12" s="125"/>
      <c r="H12" s="125"/>
      <c r="I12" s="125"/>
      <c r="J12" s="125"/>
      <c r="K12" s="125"/>
      <c r="L12" s="125"/>
      <c r="M12" s="125"/>
      <c r="N12" s="125"/>
    </row>
    <row r="13" spans="1:26" s="14" customFormat="1" x14ac:dyDescent="0.25">
      <c r="A13" s="17"/>
      <c r="B13" s="17"/>
      <c r="C13" s="17"/>
      <c r="D13" s="15"/>
      <c r="E13" s="101"/>
      <c r="F13" s="16"/>
      <c r="G13" s="16"/>
      <c r="H13" s="16"/>
      <c r="I13" s="16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6" s="14" customFormat="1" x14ac:dyDescent="0.25">
      <c r="A14" s="17"/>
      <c r="B14" s="17"/>
      <c r="C14" s="21" t="s">
        <v>82</v>
      </c>
      <c r="D14" s="87" t="s">
        <v>83</v>
      </c>
      <c r="E14" s="102"/>
      <c r="F14" s="16"/>
      <c r="G14" s="16"/>
      <c r="H14"/>
      <c r="I14" s="16"/>
      <c r="J14"/>
      <c r="K14"/>
      <c r="L14"/>
      <c r="O14"/>
      <c r="P14"/>
      <c r="Q14"/>
      <c r="R14"/>
      <c r="S14"/>
      <c r="T14"/>
      <c r="U14"/>
      <c r="V14"/>
    </row>
    <row r="15" spans="1:26" outlineLevel="1" x14ac:dyDescent="0.25">
      <c r="B15" s="17"/>
      <c r="D15" t="s">
        <v>84</v>
      </c>
      <c r="E15" s="103" t="s">
        <v>85</v>
      </c>
      <c r="F15" s="2" t="s">
        <v>86</v>
      </c>
      <c r="G15" s="3" t="s">
        <v>87</v>
      </c>
      <c r="H15" s="24">
        <v>0.9</v>
      </c>
      <c r="I15" s="3"/>
      <c r="J15" s="12" t="s">
        <v>88</v>
      </c>
    </row>
    <row r="16" spans="1:26" outlineLevel="1" x14ac:dyDescent="0.25">
      <c r="B16" s="17"/>
      <c r="C16" s="21"/>
      <c r="D16" t="s">
        <v>89</v>
      </c>
      <c r="E16" s="103" t="s">
        <v>85</v>
      </c>
      <c r="F16" s="2" t="s">
        <v>86</v>
      </c>
      <c r="G16" s="3" t="s">
        <v>90</v>
      </c>
      <c r="H16" s="24">
        <v>0.5</v>
      </c>
      <c r="I16" s="3"/>
      <c r="J16" s="12" t="s">
        <v>91</v>
      </c>
    </row>
    <row r="17" spans="1:22" outlineLevel="1" x14ac:dyDescent="0.25">
      <c r="B17" s="17"/>
      <c r="E17" s="103"/>
      <c r="F17" s="2"/>
      <c r="G17" s="3"/>
      <c r="I17" s="3"/>
      <c r="J17" s="12"/>
    </row>
    <row r="18" spans="1:22" x14ac:dyDescent="0.25">
      <c r="B18" s="17"/>
      <c r="C18" s="21" t="s">
        <v>92</v>
      </c>
      <c r="D18" s="87" t="s">
        <v>93</v>
      </c>
    </row>
    <row r="19" spans="1:22" ht="18" outlineLevel="1" x14ac:dyDescent="0.25">
      <c r="C19" s="74">
        <f>--AND(--NOT(J19=""),--NOT(K19=""),--NOT(L19=""),--NOT(M19=""))</f>
        <v>1</v>
      </c>
      <c r="D19" t="s">
        <v>94</v>
      </c>
      <c r="E19" s="103" t="s">
        <v>56</v>
      </c>
      <c r="F19" s="2" t="s">
        <v>57</v>
      </c>
      <c r="G19" s="3" t="s">
        <v>58</v>
      </c>
      <c r="H19" s="10" t="s">
        <v>30</v>
      </c>
      <c r="I19" s="3"/>
      <c r="J19" s="11" cm="1">
        <f t="array" ref="J19:M19">'Input | Outputs'!J18:M18</f>
        <v>60000</v>
      </c>
      <c r="K19" s="11">
        <v>50000</v>
      </c>
      <c r="L19" s="11">
        <v>60000</v>
      </c>
      <c r="M19" s="11">
        <v>100000</v>
      </c>
    </row>
    <row r="20" spans="1:22" outlineLevel="1" x14ac:dyDescent="0.25">
      <c r="B20" s="17"/>
      <c r="C20" s="21"/>
      <c r="D20" s="82"/>
      <c r="E20" s="103"/>
      <c r="F20" s="2"/>
      <c r="G20" s="3"/>
      <c r="H20" s="22"/>
      <c r="I20" s="3"/>
      <c r="J20" s="22"/>
      <c r="K20" s="22"/>
      <c r="L20" s="22"/>
      <c r="M20" s="22"/>
    </row>
    <row r="21" spans="1:22" x14ac:dyDescent="0.25">
      <c r="B21" s="17"/>
      <c r="C21" s="21" t="s">
        <v>95</v>
      </c>
      <c r="D21" s="87" t="s">
        <v>96</v>
      </c>
      <c r="E21" s="103"/>
      <c r="F21" s="2"/>
      <c r="G21" s="3"/>
      <c r="H21" s="22"/>
      <c r="I21" s="3"/>
      <c r="J21" s="22"/>
      <c r="K21" s="22"/>
      <c r="L21" s="22"/>
      <c r="M21" s="22"/>
    </row>
    <row r="22" spans="1:22" ht="18" outlineLevel="1" x14ac:dyDescent="0.25">
      <c r="B22" s="17"/>
      <c r="C22" s="43"/>
      <c r="D22" s="85" t="s">
        <v>97</v>
      </c>
      <c r="E22" s="103" t="s">
        <v>41</v>
      </c>
      <c r="F22" s="2" t="s">
        <v>42</v>
      </c>
      <c r="G22" s="3" t="s">
        <v>43</v>
      </c>
      <c r="H22" s="11">
        <f>AFFY</f>
        <v>40</v>
      </c>
      <c r="I22" s="3"/>
      <c r="J22" s="12" t="s">
        <v>98</v>
      </c>
    </row>
    <row r="23" spans="1:22" ht="18" outlineLevel="1" x14ac:dyDescent="0.25">
      <c r="C23" s="74">
        <f>--AND(--NOT(J23=""),--NOT(K23=""),--NOT(L23=""),--NOT(M23=""))</f>
        <v>1</v>
      </c>
      <c r="D23" s="82" t="s">
        <v>99</v>
      </c>
      <c r="E23" s="103" t="s">
        <v>100</v>
      </c>
      <c r="F23" s="2" t="s">
        <v>53</v>
      </c>
      <c r="G23" s="3" t="s">
        <v>101</v>
      </c>
      <c r="H23" s="10" t="s">
        <v>30</v>
      </c>
      <c r="I23" s="3"/>
      <c r="J23" s="11">
        <f>AFFY*J19</f>
        <v>2400000</v>
      </c>
      <c r="K23" s="11">
        <f>AFFY*K19</f>
        <v>2000000</v>
      </c>
      <c r="L23" s="11">
        <f>AFFY*L19</f>
        <v>2400000</v>
      </c>
      <c r="M23" s="11">
        <f>AFFY*M19</f>
        <v>4000000</v>
      </c>
      <c r="N23" s="90" t="s">
        <v>102</v>
      </c>
    </row>
    <row r="24" spans="1:22" ht="18" outlineLevel="1" x14ac:dyDescent="0.25">
      <c r="C24" s="74">
        <f>--IFERROR(--NOT(H24&lt;&gt;SUM(J23:M23)),IF(NOT(ISERROR(--NOT(H24&lt;&gt;SUM(J23:M23)))),TRUE,FALSE))</f>
        <v>1</v>
      </c>
      <c r="D24" s="82" t="s">
        <v>103</v>
      </c>
      <c r="E24" s="103" t="s">
        <v>104</v>
      </c>
      <c r="F24" s="2" t="s">
        <v>49</v>
      </c>
      <c r="G24" s="3" t="s">
        <v>105</v>
      </c>
      <c r="H24" s="11">
        <f>AFFY*SUM(_xlfn.ANCHORARRAY(J19))</f>
        <v>10800000</v>
      </c>
      <c r="I24" s="3"/>
      <c r="J24" s="12" t="s">
        <v>106</v>
      </c>
      <c r="K24" s="22"/>
      <c r="L24" s="22"/>
      <c r="M24" s="22"/>
      <c r="N24" s="90" t="s">
        <v>107</v>
      </c>
    </row>
    <row r="25" spans="1:22" outlineLevel="1" x14ac:dyDescent="0.25">
      <c r="C25" s="74"/>
      <c r="D25" s="82"/>
      <c r="E25" s="103"/>
      <c r="F25" s="2"/>
      <c r="G25" s="3"/>
      <c r="H25" s="12"/>
      <c r="I25" s="3"/>
      <c r="J25" s="12"/>
      <c r="K25" s="22"/>
      <c r="L25" s="22"/>
      <c r="M25" s="22"/>
      <c r="N25" s="90"/>
    </row>
    <row r="26" spans="1:22" ht="18" outlineLevel="1" x14ac:dyDescent="0.25">
      <c r="C26" s="17"/>
      <c r="D26" s="7" t="s">
        <v>108</v>
      </c>
      <c r="E26" s="103" t="s">
        <v>45</v>
      </c>
      <c r="F26" s="2" t="s">
        <v>42</v>
      </c>
      <c r="G26" s="3" t="s">
        <v>46</v>
      </c>
      <c r="H26" s="11">
        <f>ACFY</f>
        <v>80</v>
      </c>
      <c r="I26" s="3"/>
      <c r="J26" s="12" t="s">
        <v>109</v>
      </c>
      <c r="N26" s="90"/>
    </row>
    <row r="27" spans="1:22" ht="18" outlineLevel="1" x14ac:dyDescent="0.25">
      <c r="C27" s="74">
        <f>--AND(--NOT(J27=""),--NOT(K27=""),--NOT(L27=""),--NOT(M27=""))</f>
        <v>1</v>
      </c>
      <c r="D27" t="s">
        <v>110</v>
      </c>
      <c r="E27" s="103" t="s">
        <v>111</v>
      </c>
      <c r="F27" s="2" t="s">
        <v>53</v>
      </c>
      <c r="G27" s="3" t="s">
        <v>112</v>
      </c>
      <c r="H27" s="10"/>
      <c r="I27" s="3"/>
      <c r="J27" s="11">
        <f>ACFY*J19</f>
        <v>4800000</v>
      </c>
      <c r="K27" s="11">
        <f>ACFY*K19</f>
        <v>4000000</v>
      </c>
      <c r="L27" s="11">
        <f>ACFY*L19</f>
        <v>4800000</v>
      </c>
      <c r="M27" s="11">
        <f>ACFY*M19</f>
        <v>8000000</v>
      </c>
      <c r="N27" s="90" t="s">
        <v>113</v>
      </c>
    </row>
    <row r="28" spans="1:22" ht="18" outlineLevel="1" x14ac:dyDescent="0.25">
      <c r="C28" s="74">
        <f>--IFERROR(--NOT(H28&lt;&gt;SUM(J27:M27)),IF(NOT(ISERROR(--NOT(H28&lt;&gt;SUM(J27:M27)))),TRUE,FALSE))</f>
        <v>1</v>
      </c>
      <c r="D28" t="s">
        <v>114</v>
      </c>
      <c r="E28" s="103" t="s">
        <v>115</v>
      </c>
      <c r="F28" s="2" t="s">
        <v>49</v>
      </c>
      <c r="G28" s="3" t="s">
        <v>116</v>
      </c>
      <c r="H28" s="11">
        <f>ACFY*SUM(_xlfn.ANCHORARRAY(J19))</f>
        <v>21600000</v>
      </c>
      <c r="I28" s="3"/>
      <c r="J28" s="12" t="s">
        <v>117</v>
      </c>
      <c r="K28" s="22"/>
      <c r="L28" s="22"/>
      <c r="M28" s="22"/>
      <c r="N28" s="90" t="s">
        <v>118</v>
      </c>
    </row>
    <row r="29" spans="1:22" outlineLevel="1" x14ac:dyDescent="0.25">
      <c r="C29" s="17"/>
      <c r="E29" s="103"/>
      <c r="F29" s="2"/>
      <c r="G29" s="3"/>
      <c r="I29" s="3"/>
      <c r="N29" s="90"/>
    </row>
    <row r="30" spans="1:22" ht="18" outlineLevel="1" x14ac:dyDescent="0.25">
      <c r="C30" s="74">
        <f>--AND(--NOT(J30=""),--NOT(K30=""),--NOT(L30=""),--NOT(M30=""))</f>
        <v>1</v>
      </c>
      <c r="D30" s="7" t="s">
        <v>51</v>
      </c>
      <c r="E30" s="103" t="s">
        <v>52</v>
      </c>
      <c r="F30" s="2" t="s">
        <v>53</v>
      </c>
      <c r="G30" s="3" t="s">
        <v>54</v>
      </c>
      <c r="H30" s="10"/>
      <c r="I30" s="3"/>
      <c r="J30" s="55" cm="1">
        <f t="array" ref="J30:M30">'Input | Outputs'!$J$16:$M$16</f>
        <v>1500000</v>
      </c>
      <c r="K30" s="55">
        <v>1000000</v>
      </c>
      <c r="L30" s="55">
        <v>6000000</v>
      </c>
      <c r="M30" s="11">
        <v>4000000</v>
      </c>
      <c r="N30" s="90"/>
    </row>
    <row r="31" spans="1:22" outlineLevel="1" x14ac:dyDescent="0.25">
      <c r="B31" s="17"/>
      <c r="E31" s="103"/>
      <c r="F31" s="2"/>
      <c r="G31" s="3"/>
      <c r="I31" s="3"/>
    </row>
    <row r="32" spans="1:22" s="14" customFormat="1" x14ac:dyDescent="0.25">
      <c r="A32" s="17"/>
      <c r="B32" s="17"/>
      <c r="C32" s="21" t="s">
        <v>119</v>
      </c>
      <c r="D32" s="87" t="s">
        <v>120</v>
      </c>
      <c r="E32" s="104"/>
      <c r="F32" s="16"/>
      <c r="G32" s="16"/>
      <c r="H32"/>
      <c r="I32" s="16"/>
      <c r="J32"/>
      <c r="K32"/>
      <c r="L32"/>
      <c r="O32"/>
      <c r="P32"/>
      <c r="Q32"/>
      <c r="R32"/>
      <c r="S32"/>
      <c r="T32"/>
      <c r="U32"/>
      <c r="V32"/>
    </row>
    <row r="33" spans="1:22" ht="18" outlineLevel="1" x14ac:dyDescent="0.25">
      <c r="C33" s="74">
        <f>--NOT(H33&lt;&gt;ZFY)</f>
        <v>1</v>
      </c>
      <c r="D33" t="s">
        <v>47</v>
      </c>
      <c r="E33" s="103" t="s">
        <v>48</v>
      </c>
      <c r="F33" s="2" t="s">
        <v>49</v>
      </c>
      <c r="G33" s="3" t="s">
        <v>121</v>
      </c>
      <c r="H33" s="11">
        <f>ZFY</f>
        <v>4000000</v>
      </c>
      <c r="I33" s="3"/>
      <c r="J33" s="12" t="s">
        <v>122</v>
      </c>
    </row>
    <row r="34" spans="1:22" outlineLevel="1" x14ac:dyDescent="0.25">
      <c r="D34" s="29" t="s">
        <v>123</v>
      </c>
      <c r="E34" s="103"/>
      <c r="F34" s="2"/>
      <c r="G34" s="3"/>
      <c r="H34" s="3"/>
      <c r="I34" s="3"/>
    </row>
    <row r="35" spans="1:22" x14ac:dyDescent="0.25">
      <c r="D35" s="5"/>
      <c r="E35" s="103"/>
      <c r="F35" s="3"/>
      <c r="G35" s="9"/>
      <c r="H35" s="22"/>
      <c r="I35" s="9"/>
    </row>
    <row r="36" spans="1:22" s="14" customFormat="1" x14ac:dyDescent="0.25">
      <c r="B36" s="14" t="s">
        <v>30</v>
      </c>
      <c r="C36" s="119">
        <v>4.1999999999999993</v>
      </c>
      <c r="D36" s="120" t="s">
        <v>124</v>
      </c>
      <c r="E36" s="121" t="s">
        <v>32</v>
      </c>
      <c r="F36" s="122" t="s">
        <v>33</v>
      </c>
      <c r="G36" s="122" t="s">
        <v>34</v>
      </c>
      <c r="H36" s="122" t="s">
        <v>125</v>
      </c>
      <c r="I36" s="122"/>
      <c r="J36" s="122" t="s">
        <v>36</v>
      </c>
      <c r="K36" s="122" t="s">
        <v>37</v>
      </c>
      <c r="L36" s="122" t="s">
        <v>38</v>
      </c>
      <c r="M36" s="122" t="s">
        <v>39</v>
      </c>
      <c r="N36" s="122" t="s">
        <v>79</v>
      </c>
      <c r="O36"/>
      <c r="P36"/>
      <c r="Q36"/>
      <c r="R36"/>
      <c r="S36"/>
      <c r="T36"/>
      <c r="U36"/>
      <c r="V36"/>
    </row>
    <row r="37" spans="1:22" s="14" customFormat="1" x14ac:dyDescent="0.25">
      <c r="A37" s="17"/>
      <c r="B37" s="17"/>
      <c r="C37" s="17"/>
      <c r="D37" s="15"/>
      <c r="E37" s="15"/>
      <c r="F37" s="16"/>
      <c r="G37" s="16"/>
      <c r="H37"/>
      <c r="I37" s="16"/>
      <c r="J37"/>
      <c r="K37"/>
      <c r="L37"/>
      <c r="O37"/>
      <c r="P37"/>
      <c r="Q37"/>
      <c r="R37"/>
      <c r="S37"/>
      <c r="T37"/>
      <c r="U37"/>
      <c r="V37"/>
    </row>
    <row r="38" spans="1:22" s="8" customFormat="1" x14ac:dyDescent="0.25">
      <c r="A38" s="20"/>
      <c r="C38" s="123" t="s">
        <v>126</v>
      </c>
      <c r="D38" s="123" t="s">
        <v>83</v>
      </c>
      <c r="E38" s="126"/>
      <c r="F38" s="127"/>
      <c r="G38" s="127"/>
      <c r="H38" s="128"/>
      <c r="I38" s="127"/>
      <c r="J38" s="128"/>
      <c r="K38" s="129"/>
      <c r="L38" s="129"/>
      <c r="M38" s="128"/>
      <c r="N38" s="125"/>
    </row>
    <row r="39" spans="1:22" s="14" customFormat="1" x14ac:dyDescent="0.25">
      <c r="A39" s="17"/>
      <c r="B39" s="17"/>
      <c r="C39" s="17"/>
      <c r="D39" s="15"/>
      <c r="E39" s="105"/>
      <c r="F39" s="16"/>
      <c r="G39" s="16"/>
      <c r="H39"/>
      <c r="I39" s="16"/>
      <c r="J39"/>
      <c r="K39"/>
      <c r="L39"/>
      <c r="O39"/>
      <c r="P39"/>
      <c r="Q39"/>
      <c r="R39"/>
      <c r="S39"/>
      <c r="T39"/>
      <c r="U39"/>
      <c r="V39"/>
    </row>
    <row r="40" spans="1:22" ht="18" outlineLevel="1" x14ac:dyDescent="0.25">
      <c r="C40" s="74" cm="1">
        <f t="array" ref="C40">--NOT(SUM(_xlfn.ANCHORARRAY(QNOR1)&lt;&gt;ANORFY))</f>
        <v>1</v>
      </c>
      <c r="D40" s="7" t="s">
        <v>127</v>
      </c>
      <c r="E40" s="103" t="s">
        <v>128</v>
      </c>
      <c r="F40" s="2" t="s">
        <v>49</v>
      </c>
      <c r="G40" s="3" t="s">
        <v>129</v>
      </c>
      <c r="H40" s="52">
        <f>SUM($J$30:$M$30)</f>
        <v>12500000</v>
      </c>
      <c r="I40" s="3"/>
      <c r="J40" s="12"/>
      <c r="K40" s="22"/>
      <c r="L40" s="22"/>
      <c r="M40" s="22"/>
    </row>
    <row r="41" spans="1:22" outlineLevel="1" x14ac:dyDescent="0.25">
      <c r="E41" s="103"/>
      <c r="F41" s="2"/>
      <c r="G41" s="3"/>
      <c r="H41" s="83"/>
      <c r="I41" s="3"/>
      <c r="J41" s="12"/>
      <c r="K41" s="22"/>
      <c r="L41" s="22"/>
      <c r="M41" s="22"/>
    </row>
    <row r="42" spans="1:22" ht="18" x14ac:dyDescent="0.35">
      <c r="C42" s="94" t="s">
        <v>130</v>
      </c>
      <c r="D42" s="93" t="s">
        <v>131</v>
      </c>
      <c r="E42" s="103" t="s">
        <v>132</v>
      </c>
      <c r="F42" s="2" t="s">
        <v>133</v>
      </c>
      <c r="G42" s="4" t="s">
        <v>134</v>
      </c>
      <c r="H42" s="83"/>
      <c r="I42" s="4"/>
      <c r="J42" s="22"/>
      <c r="K42" s="22"/>
      <c r="L42" s="22"/>
      <c r="M42" s="22"/>
    </row>
    <row r="43" spans="1:22" outlineLevel="1" x14ac:dyDescent="0.25">
      <c r="D43" t="s">
        <v>135</v>
      </c>
      <c r="E43" s="103"/>
      <c r="F43" s="2"/>
      <c r="G43" s="4"/>
      <c r="H43" s="83"/>
      <c r="I43" s="4"/>
      <c r="J43" s="22"/>
      <c r="K43" s="22"/>
      <c r="L43" s="22"/>
      <c r="M43" s="22"/>
    </row>
    <row r="44" spans="1:22" ht="18" outlineLevel="1" x14ac:dyDescent="0.35">
      <c r="C44" s="74">
        <f>--AND(--NOT(J44=""),--NOT(K44=""),--NOT(L44=""))</f>
        <v>1</v>
      </c>
      <c r="D44" s="84" t="s">
        <v>136</v>
      </c>
      <c r="E44" s="103" t="s">
        <v>137</v>
      </c>
      <c r="F44" s="2" t="s">
        <v>53</v>
      </c>
      <c r="G44" s="4"/>
      <c r="H44" s="83"/>
      <c r="I44" s="3"/>
      <c r="J44" s="52">
        <f>IF(QNOR1&lt;QRFQ1,support_percentage*(QRFQ1-QNOR1),0)</f>
        <v>810000</v>
      </c>
      <c r="K44" s="52">
        <f>IF(QNOR2&lt;QRFQ2,support_percentage*(QRFQ2-QNOR2),0)</f>
        <v>900000</v>
      </c>
      <c r="L44" s="52">
        <f>IF(QNOR3&lt;QRFQ3,support_percentage*(QRFQ3-QNOR3),0)</f>
        <v>0</v>
      </c>
    </row>
    <row r="45" spans="1:22" ht="18" outlineLevel="1" x14ac:dyDescent="0.35">
      <c r="C45" s="74">
        <f>--AND(--NOT(J45=""),--NOT(K45=""),--NOT(L45=""))</f>
        <v>1</v>
      </c>
      <c r="D45" s="84" t="s">
        <v>138</v>
      </c>
      <c r="E45" s="103" t="s">
        <v>139</v>
      </c>
      <c r="F45" s="2" t="s">
        <v>53</v>
      </c>
      <c r="G45" s="3"/>
      <c r="H45" s="83"/>
      <c r="I45" s="3"/>
      <c r="J45" s="52">
        <f>IF(QNOR1&gt;QRCQ1,sharing_percentage*(QNOR1-QRCQ1),0)</f>
        <v>0</v>
      </c>
      <c r="K45" s="52">
        <f>IF(QNOR2&gt;QRCQ2,sharing_percentage*(QNOR2-QRCQ2),0)</f>
        <v>0</v>
      </c>
      <c r="L45" s="52">
        <f>IF(QNOR3&gt;QRCQ3,sharing_percentage*(QNOR3-QRCQ3),0)</f>
        <v>600000</v>
      </c>
    </row>
    <row r="46" spans="1:22" ht="18" outlineLevel="1" x14ac:dyDescent="0.35">
      <c r="C46" s="74">
        <f>--AND(--NOT(J46=""),--NOT(K46=""),--NOT(L46=""))</f>
        <v>1</v>
      </c>
      <c r="D46" s="84" t="s">
        <v>140</v>
      </c>
      <c r="E46" s="103" t="s">
        <v>141</v>
      </c>
      <c r="F46" s="2" t="s">
        <v>53</v>
      </c>
      <c r="G46" s="3"/>
      <c r="H46" s="83"/>
      <c r="I46" s="3"/>
      <c r="J46" s="52">
        <f>IF(AND(QNOR1&gt;=QRFQ1,QNOR1&lt;=QRCQ1),0,0)</f>
        <v>0</v>
      </c>
      <c r="K46" s="52">
        <f>IF(AND(QNOR2&gt;=QRFQ2,QNOR2&lt;=QRCQ2),0,0)</f>
        <v>0</v>
      </c>
      <c r="L46" s="52">
        <f>IF(AND(QNOR3&gt;=QRFQ3,QNOR3&lt;=QRCQ3),0,0)</f>
        <v>0</v>
      </c>
    </row>
    <row r="47" spans="1:22" outlineLevel="1" x14ac:dyDescent="0.25">
      <c r="C47" s="74"/>
      <c r="D47" s="84"/>
      <c r="E47" s="103"/>
      <c r="F47" s="2"/>
      <c r="G47" s="3"/>
      <c r="H47" s="83"/>
      <c r="I47" s="3"/>
      <c r="J47" s="83"/>
      <c r="K47" s="83"/>
      <c r="L47" s="83"/>
    </row>
    <row r="48" spans="1:22" x14ac:dyDescent="0.25">
      <c r="C48" s="94" t="s">
        <v>142</v>
      </c>
      <c r="D48" s="93" t="s">
        <v>143</v>
      </c>
      <c r="E48" s="103"/>
      <c r="F48" s="2"/>
      <c r="G48" s="4"/>
      <c r="H48" s="92"/>
      <c r="I48" s="4"/>
      <c r="J48" s="6"/>
      <c r="K48" s="6"/>
      <c r="L48" s="6"/>
      <c r="M48" s="6"/>
    </row>
    <row r="49" spans="3:14" ht="18" outlineLevel="1" x14ac:dyDescent="0.35">
      <c r="C49" s="74">
        <f>--(SUM(J49:L49)&lt;=SUM(J44:L44))</f>
        <v>1</v>
      </c>
      <c r="D49" s="84" t="s">
        <v>144</v>
      </c>
      <c r="E49" s="103" t="s">
        <v>145</v>
      </c>
      <c r="F49" s="2" t="s">
        <v>53</v>
      </c>
      <c r="G49" s="4" t="s">
        <v>134</v>
      </c>
      <c r="I49" s="3"/>
      <c r="J49" s="52">
        <f>MIN(QRF_q1,ZFY)</f>
        <v>810000</v>
      </c>
      <c r="K49" s="52">
        <f>MIN(QRF_q2,ZFY-J49)</f>
        <v>900000</v>
      </c>
      <c r="L49" s="52">
        <f>MIN(QRF_q3,ZFY-SUM(J49:K49))</f>
        <v>0</v>
      </c>
    </row>
    <row r="50" spans="3:14" ht="18" outlineLevel="1" x14ac:dyDescent="0.35">
      <c r="C50" s="74">
        <f>--(SUM(J50:L50)&lt;=SUM(J45:L45))</f>
        <v>1</v>
      </c>
      <c r="D50" s="84" t="s">
        <v>146</v>
      </c>
      <c r="E50" s="103" t="s">
        <v>145</v>
      </c>
      <c r="F50" s="2" t="s">
        <v>53</v>
      </c>
      <c r="G50" s="4" t="s">
        <v>134</v>
      </c>
      <c r="I50" s="3"/>
      <c r="J50" s="52">
        <f>-MAX(-QRC_q1,-ZFY)</f>
        <v>0</v>
      </c>
      <c r="K50" s="52">
        <f>-MAX(-QRC_q2,-ZFY+J50)</f>
        <v>0</v>
      </c>
      <c r="L50" s="52">
        <f>-MAX(-QRC_q3,-ZFY+J50+K50)</f>
        <v>600000</v>
      </c>
    </row>
    <row r="51" spans="3:14" outlineLevel="1" x14ac:dyDescent="0.25">
      <c r="E51" s="103"/>
      <c r="F51" s="2"/>
      <c r="G51" s="3"/>
      <c r="H51" s="6"/>
      <c r="I51" s="3"/>
      <c r="J51" s="12"/>
      <c r="M51" s="53"/>
    </row>
    <row r="52" spans="3:14" ht="18" x14ac:dyDescent="0.25">
      <c r="C52" s="94" t="s">
        <v>147</v>
      </c>
      <c r="D52" s="93" t="s">
        <v>148</v>
      </c>
      <c r="E52" s="106" t="s">
        <v>149</v>
      </c>
      <c r="F52" s="2" t="s">
        <v>49</v>
      </c>
      <c r="G52" s="3" t="s">
        <v>74</v>
      </c>
      <c r="H52" s="6"/>
      <c r="I52" s="3"/>
      <c r="J52" s="12"/>
      <c r="M52" s="53"/>
    </row>
    <row r="53" spans="3:14" outlineLevel="1" x14ac:dyDescent="0.25">
      <c r="D53" s="19" t="s">
        <v>150</v>
      </c>
      <c r="E53" s="103"/>
      <c r="F53" s="2"/>
      <c r="G53" s="3"/>
      <c r="H53" s="83"/>
      <c r="I53" s="3"/>
      <c r="J53" s="12"/>
      <c r="K53" s="22"/>
      <c r="L53" s="22"/>
      <c r="M53" s="22"/>
    </row>
    <row r="54" spans="3:14" ht="18" outlineLevel="1" x14ac:dyDescent="0.25">
      <c r="C54" s="74" cm="1">
        <f t="array" ref="C54">--NOT(SUM(J49:L49&lt;&gt;∑CQPAFY))</f>
        <v>1</v>
      </c>
      <c r="D54" s="84" t="s">
        <v>151</v>
      </c>
      <c r="E54" s="103" t="s">
        <v>72</v>
      </c>
      <c r="F54" s="2" t="s">
        <v>152</v>
      </c>
      <c r="G54" s="3" t="s">
        <v>153</v>
      </c>
      <c r="H54" s="1">
        <f>SUM(J49:L49)</f>
        <v>1710000</v>
      </c>
      <c r="I54" s="3"/>
    </row>
    <row r="55" spans="3:14" ht="18" outlineLevel="1" x14ac:dyDescent="0.25">
      <c r="C55" s="74" cm="1">
        <f t="array" ref="C55">--NOT(SUM(J50:L50&lt;&gt;∑OQPAFY))</f>
        <v>1</v>
      </c>
      <c r="D55" s="84" t="s">
        <v>154</v>
      </c>
      <c r="E55" s="103" t="s">
        <v>72</v>
      </c>
      <c r="F55" s="2" t="s">
        <v>152</v>
      </c>
      <c r="G55" s="3" t="s">
        <v>155</v>
      </c>
      <c r="H55" s="1">
        <f>SUM(J50:L50)</f>
        <v>600000</v>
      </c>
      <c r="I55" s="3"/>
    </row>
    <row r="56" spans="3:14" outlineLevel="1" x14ac:dyDescent="0.25">
      <c r="E56" s="103"/>
      <c r="F56" s="2"/>
      <c r="G56" s="3"/>
      <c r="H56" s="6"/>
      <c r="I56" s="3"/>
      <c r="J56" s="12"/>
      <c r="M56" s="53"/>
    </row>
    <row r="57" spans="3:14" x14ac:dyDescent="0.25">
      <c r="C57" s="94" t="s">
        <v>156</v>
      </c>
      <c r="D57" s="93" t="s">
        <v>135</v>
      </c>
      <c r="E57" s="103"/>
      <c r="F57" s="2"/>
      <c r="G57" s="4"/>
      <c r="H57" s="92"/>
      <c r="I57" s="4"/>
      <c r="J57" s="6"/>
      <c r="K57" s="6"/>
      <c r="L57" s="6"/>
      <c r="M57" s="6"/>
    </row>
    <row r="58" spans="3:14" ht="18" outlineLevel="1" x14ac:dyDescent="0.35">
      <c r="C58" s="74">
        <f>--IFERROR(--NOT(M58=""),IF(NOT(ISERROR(--NOT(M58=""))),TRUE,FALSE))</f>
        <v>1</v>
      </c>
      <c r="D58" t="s">
        <v>157</v>
      </c>
      <c r="E58" s="106" t="s">
        <v>158</v>
      </c>
      <c r="F58" s="2" t="s">
        <v>49</v>
      </c>
      <c r="G58" s="3" t="s">
        <v>159</v>
      </c>
      <c r="H58" s="6"/>
      <c r="I58" s="3"/>
      <c r="J58" s="54"/>
      <c r="K58" s="54"/>
      <c r="L58" s="54"/>
      <c r="M58" s="52">
        <f>IF(ANORFY&lt;ARFFY,support_percentage*(ARFFY-ANORFY)-∑CQPAFY+∑OQPAFY,0)</f>
        <v>0</v>
      </c>
      <c r="N58" s="90" t="s">
        <v>160</v>
      </c>
    </row>
    <row r="59" spans="3:14" outlineLevel="1" x14ac:dyDescent="0.25">
      <c r="D59" s="88" t="s">
        <v>67</v>
      </c>
      <c r="E59" s="103"/>
      <c r="F59" s="2"/>
      <c r="G59" s="3"/>
      <c r="H59" s="6"/>
      <c r="I59" s="3"/>
      <c r="J59" s="12"/>
      <c r="M59" s="53"/>
      <c r="N59" s="84"/>
    </row>
    <row r="60" spans="3:14" ht="18" outlineLevel="1" x14ac:dyDescent="0.35">
      <c r="C60" s="74">
        <f>--IFERROR(--NOT(M60=""),IF(NOT(ISERROR(--NOT(M60=""))),TRUE,FALSE))</f>
        <v>1</v>
      </c>
      <c r="D60" t="s">
        <v>161</v>
      </c>
      <c r="E60" s="106" t="s">
        <v>162</v>
      </c>
      <c r="F60" s="2" t="s">
        <v>49</v>
      </c>
      <c r="G60" s="3" t="s">
        <v>163</v>
      </c>
      <c r="H60" s="6"/>
      <c r="I60" s="3"/>
      <c r="J60" s="54"/>
      <c r="K60" s="54"/>
      <c r="L60" s="54"/>
      <c r="M60" s="52">
        <f>IF(ANORFY&gt;ARCFY,sharing_percentage*(ANORFY-ARCFY)-∑OQPAFY+∑CQPAFY,0)</f>
        <v>0</v>
      </c>
      <c r="N60" s="90" t="s">
        <v>164</v>
      </c>
    </row>
    <row r="61" spans="3:14" outlineLevel="1" x14ac:dyDescent="0.25">
      <c r="D61" s="88" t="s">
        <v>71</v>
      </c>
      <c r="E61" s="103"/>
      <c r="F61" s="2"/>
      <c r="G61" s="3"/>
      <c r="H61" s="6"/>
      <c r="I61" s="3"/>
      <c r="J61" s="12"/>
      <c r="M61" s="53"/>
      <c r="N61" s="84"/>
    </row>
    <row r="62" spans="3:14" ht="18" outlineLevel="1" x14ac:dyDescent="0.35">
      <c r="C62" s="74">
        <f>--IFERROR(--NOT(M62=""),IF(NOT(ISERROR(--NOT(M62=""))),TRUE,FALSE))</f>
        <v>1</v>
      </c>
      <c r="D62" t="s">
        <v>165</v>
      </c>
      <c r="E62" s="106" t="s">
        <v>166</v>
      </c>
      <c r="F62" s="2" t="s">
        <v>49</v>
      </c>
      <c r="G62" s="3" t="s">
        <v>74</v>
      </c>
      <c r="H62" s="6"/>
      <c r="I62" s="3"/>
      <c r="J62" s="54"/>
      <c r="K62" s="54"/>
      <c r="L62" s="54"/>
      <c r="M62" s="91">
        <f>IF(AND(ANORFY&gt;=ARFFY,ANORFY&lt;=ARCFY),∑CQPAFY-∑OQPAFY,0)</f>
        <v>1110000</v>
      </c>
      <c r="N62" s="90" t="s">
        <v>167</v>
      </c>
    </row>
    <row r="63" spans="3:14" outlineLevel="1" x14ac:dyDescent="0.25">
      <c r="D63" s="88" t="s">
        <v>71</v>
      </c>
      <c r="E63" s="103"/>
      <c r="F63" s="2"/>
      <c r="G63" s="3"/>
      <c r="H63" s="6"/>
      <c r="I63" s="3"/>
      <c r="J63" s="12"/>
      <c r="M63" s="53"/>
    </row>
    <row r="64" spans="3:14" outlineLevel="1" x14ac:dyDescent="0.25">
      <c r="E64" s="103"/>
      <c r="F64" s="2"/>
      <c r="G64" s="3"/>
      <c r="H64" s="6"/>
      <c r="I64" s="3"/>
      <c r="J64" s="12"/>
      <c r="M64" s="53"/>
    </row>
    <row r="65" spans="1:14" x14ac:dyDescent="0.25">
      <c r="C65" s="94" t="s">
        <v>168</v>
      </c>
      <c r="D65" s="93" t="s">
        <v>143</v>
      </c>
      <c r="E65" s="103"/>
      <c r="F65" s="2"/>
      <c r="G65" s="4"/>
      <c r="H65" s="92"/>
      <c r="I65" s="4"/>
      <c r="J65" s="6"/>
      <c r="K65" s="6"/>
      <c r="L65" s="6"/>
      <c r="M65" s="6"/>
    </row>
    <row r="66" spans="1:14" ht="18" outlineLevel="1" x14ac:dyDescent="0.35">
      <c r="C66" s="74">
        <f>--IFERROR(--NOT(M66=""),IF(NOT(ISERROR(--NOT(M66=""))),TRUE,FALSE))</f>
        <v>1</v>
      </c>
      <c r="D66" t="s">
        <v>169</v>
      </c>
      <c r="E66" s="106" t="s">
        <v>170</v>
      </c>
      <c r="F66" s="2" t="s">
        <v>49</v>
      </c>
      <c r="G66" s="3" t="s">
        <v>159</v>
      </c>
      <c r="H66" s="6"/>
      <c r="I66" s="3"/>
      <c r="J66" s="54"/>
      <c r="K66" s="54"/>
      <c r="L66" s="54"/>
      <c r="M66" s="52">
        <f>MIN(AAAFY_ARF,ZFY-∑CQPAFY+∑OQPAFY)</f>
        <v>0</v>
      </c>
      <c r="N66" s="90" t="s">
        <v>171</v>
      </c>
    </row>
    <row r="67" spans="1:14" outlineLevel="1" x14ac:dyDescent="0.25">
      <c r="D67" s="88" t="s">
        <v>67</v>
      </c>
      <c r="E67" s="103"/>
      <c r="F67" s="2"/>
      <c r="G67" s="3"/>
      <c r="H67" s="6"/>
      <c r="I67" s="3"/>
      <c r="J67" s="12"/>
      <c r="M67" s="53"/>
      <c r="N67" s="84"/>
    </row>
    <row r="68" spans="1:14" ht="18" outlineLevel="1" x14ac:dyDescent="0.35">
      <c r="C68" s="74">
        <f>--IFERROR(--NOT(M68=""),IF(NOT(ISERROR(--NOT(M68=""))),TRUE,FALSE))</f>
        <v>1</v>
      </c>
      <c r="D68" t="s">
        <v>172</v>
      </c>
      <c r="E68" s="106" t="s">
        <v>170</v>
      </c>
      <c r="F68" s="2" t="s">
        <v>49</v>
      </c>
      <c r="G68" s="3" t="s">
        <v>163</v>
      </c>
      <c r="H68" s="6"/>
      <c r="I68" s="3"/>
      <c r="J68" s="54"/>
      <c r="K68" s="54"/>
      <c r="L68" s="54"/>
      <c r="M68" s="52">
        <f>MIN(AAAFY_ARC,ZFY-∑OQPAFY+∑CQPAFY)</f>
        <v>0</v>
      </c>
      <c r="N68" s="90" t="s">
        <v>173</v>
      </c>
    </row>
    <row r="69" spans="1:14" outlineLevel="1" x14ac:dyDescent="0.25">
      <c r="D69" s="88" t="s">
        <v>71</v>
      </c>
      <c r="E69" s="103"/>
      <c r="F69" s="2"/>
      <c r="G69" s="3"/>
      <c r="H69" s="6"/>
      <c r="I69" s="3"/>
      <c r="J69" s="12"/>
      <c r="M69" s="53"/>
      <c r="N69" s="84"/>
    </row>
    <row r="70" spans="1:14" ht="18" outlineLevel="1" x14ac:dyDescent="0.35">
      <c r="C70" s="74">
        <f>--IFERROR(--NOT(M70=""),IF(NOT(ISERROR(--NOT(M70=""))),TRUE,FALSE))</f>
        <v>1</v>
      </c>
      <c r="D70" t="s">
        <v>165</v>
      </c>
      <c r="E70" s="106" t="s">
        <v>166</v>
      </c>
      <c r="F70" s="2" t="s">
        <v>49</v>
      </c>
      <c r="G70" s="3" t="s">
        <v>74</v>
      </c>
      <c r="H70" s="6"/>
      <c r="I70" s="3"/>
      <c r="J70" s="54"/>
      <c r="K70" s="54"/>
      <c r="L70" s="54"/>
      <c r="M70" s="91">
        <f>IF(AND(ANORFY&gt;=ARFFY,ANORFY&lt;=ARCFY),∑CQPAFY-∑OQPAFY,0)</f>
        <v>1110000</v>
      </c>
      <c r="N70" s="90" t="s">
        <v>167</v>
      </c>
    </row>
    <row r="71" spans="1:14" outlineLevel="1" x14ac:dyDescent="0.25">
      <c r="D71" s="88" t="s">
        <v>71</v>
      </c>
      <c r="E71" s="103"/>
      <c r="F71" s="2"/>
      <c r="G71" s="3"/>
      <c r="H71" s="6"/>
      <c r="I71" s="3"/>
      <c r="J71" s="12"/>
      <c r="M71" s="53"/>
    </row>
    <row r="72" spans="1:14" x14ac:dyDescent="0.25">
      <c r="E72" s="103"/>
    </row>
    <row r="73" spans="1:14" s="45" customFormat="1" x14ac:dyDescent="0.25">
      <c r="A73" s="45" t="s">
        <v>1</v>
      </c>
      <c r="B73" s="46"/>
      <c r="C73" s="46"/>
      <c r="D73" s="46"/>
    </row>
  </sheetData>
  <dataValidations count="2">
    <dataValidation type="decimal" operator="equal" allowBlank="1" showInputMessage="1" showErrorMessage="1" sqref="H16" xr:uid="{AE545741-2C1E-4FB0-B2BE-1B469C74CCCA}">
      <formula1>0.5</formula1>
    </dataValidation>
    <dataValidation type="decimal" operator="equal" allowBlank="1" showInputMessage="1" showErrorMessage="1" sqref="H15:H16" xr:uid="{263C36E3-6DE7-437B-9BBF-D16452CE945F}">
      <formula1>0.9</formula1>
    </dataValidation>
  </dataValidations>
  <hyperlinks>
    <hyperlink ref="A1" location="Back_to_Start" display="Back" xr:uid="{6DB5E42C-8ED6-4F56-8298-48B542D81C6E}"/>
  </hyperlinks>
  <pageMargins left="0.7" right="0.7" top="0.75" bottom="0.75" header="0.3" footer="0.3"/>
  <pageSetup paperSize="9" orientation="portrait" r:id="rId1"/>
  <headerFooter>
    <oddHeader>&amp;C&amp;"Calibri"&amp;12&amp;KFF0000 OFFICIAL&amp;1#_x000D_&amp;"Calibri"&amp;11&amp;K000000&amp;G</oddHeader>
    <oddFooter>&amp;C_x000D_&amp;1#&amp;"Calibri"&amp;12&amp;KFF0000 OFFICIAL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DE0F-5200-4FAD-888A-05CCC9E2704C}">
  <sheetPr>
    <tabColor theme="0" tint="-0.499984740745262"/>
  </sheetPr>
  <dimension ref="A1:AH53"/>
  <sheetViews>
    <sheetView showGridLines="0" topLeftCell="A23" workbookViewId="0">
      <selection activeCell="E36" sqref="E36"/>
    </sheetView>
  </sheetViews>
  <sheetFormatPr defaultColWidth="0" defaultRowHeight="14.45" customHeight="1" zeroHeight="1" x14ac:dyDescent="0.25"/>
  <cols>
    <col min="1" max="2" width="3.28515625" customWidth="1"/>
    <col min="3" max="3" width="6.7109375" customWidth="1"/>
    <col min="4" max="4" width="60.140625" customWidth="1"/>
    <col min="5" max="9" width="18.7109375" customWidth="1"/>
    <col min="10" max="10" width="5.28515625" customWidth="1"/>
    <col min="11" max="11" width="9.28515625" customWidth="1"/>
    <col min="12" max="22" width="8.7109375" hidden="1" customWidth="1"/>
    <col min="23" max="23" width="6" hidden="1" customWidth="1"/>
    <col min="24" max="24" width="5.5703125" hidden="1" customWidth="1"/>
    <col min="25" max="34" width="9.28515625" hidden="1" customWidth="1"/>
    <col min="35" max="16384" width="8.7109375" hidden="1"/>
  </cols>
  <sheetData>
    <row r="1" spans="1:34" ht="15.75" x14ac:dyDescent="0.25">
      <c r="A1" s="50" t="s">
        <v>27</v>
      </c>
      <c r="B1" s="30"/>
      <c r="C1" s="33"/>
      <c r="D1" s="32" t="str">
        <f>Model_Name</f>
        <v>Capacity Investment Scheme NEM Generation - Draft</v>
      </c>
      <c r="E1" s="31"/>
      <c r="F1" s="31"/>
      <c r="G1" s="31"/>
      <c r="H1" s="31"/>
      <c r="I1" s="31"/>
      <c r="J1" s="31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34" ht="15.75" x14ac:dyDescent="0.25">
      <c r="A2" s="34"/>
      <c r="B2" s="35">
        <f ca="1">_xlfn.SHEET()</f>
        <v>5</v>
      </c>
      <c r="C2" s="35" t="str" cm="1">
        <f t="array" aca="1" ref="C2" ca="1">_xlfn.TEXTAFTER(CELL("filename",A1),"]")</f>
        <v>Graph</v>
      </c>
      <c r="D2" s="35"/>
      <c r="E2" s="35"/>
      <c r="F2" s="35"/>
      <c r="G2" s="35"/>
      <c r="H2" s="35"/>
      <c r="I2" s="35"/>
      <c r="J2" s="35"/>
      <c r="K2" s="51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ht="15" x14ac:dyDescent="0.25">
      <c r="A3" s="3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4" ht="15" x14ac:dyDescent="0.25">
      <c r="A4" s="30"/>
      <c r="B4" s="38"/>
      <c r="C4" s="40"/>
      <c r="D4" s="3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34" ht="15" x14ac:dyDescent="0.25">
      <c r="A5" s="37"/>
      <c r="B5" s="30"/>
      <c r="C5" s="40"/>
      <c r="D5" s="3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34" ht="15" x14ac:dyDescent="0.25">
      <c r="A6" s="37"/>
      <c r="B6" s="30"/>
      <c r="C6" s="74">
        <f>--AND($C$10:$C$32)</f>
        <v>1</v>
      </c>
      <c r="D6" s="75" t="str">
        <f>IF(C6,"All key input fields complete","Calculations input incomplete")</f>
        <v>All key input fields complete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34" ht="15" x14ac:dyDescent="0.25">
      <c r="A7" s="37"/>
      <c r="B7" s="30"/>
      <c r="C7" s="3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34" ht="15" x14ac:dyDescent="0.25">
      <c r="A8" s="37"/>
      <c r="B8" s="30"/>
      <c r="C8" s="30"/>
      <c r="D8" s="4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34" s="14" customFormat="1" ht="5.0999999999999996" customHeight="1" x14ac:dyDescent="0.25">
      <c r="A9" s="17"/>
      <c r="B9" s="17"/>
      <c r="C9" s="17"/>
      <c r="D9" s="15"/>
      <c r="E9" s="16"/>
      <c r="F9" s="16"/>
      <c r="G9" s="16"/>
      <c r="H9" s="16"/>
      <c r="I9" s="16"/>
      <c r="J9" s="16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4" s="14" customFormat="1" ht="14.25" customHeight="1" x14ac:dyDescent="0.25">
      <c r="C10" s="118">
        <v>5.0999999999999996</v>
      </c>
      <c r="D10" s="114" t="s">
        <v>174</v>
      </c>
      <c r="E10" s="116"/>
      <c r="F10" s="116"/>
      <c r="G10" s="116"/>
      <c r="H10" s="116"/>
      <c r="I10" s="46"/>
      <c r="J10" s="46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34" ht="15" x14ac:dyDescent="0.25"/>
    <row r="12" spans="1:34" s="23" customFormat="1" ht="45" x14ac:dyDescent="0.25">
      <c r="D12" s="56" t="s">
        <v>175</v>
      </c>
      <c r="E12" s="56" t="s">
        <v>99</v>
      </c>
      <c r="F12" s="56" t="s">
        <v>110</v>
      </c>
      <c r="G12" s="56" t="s">
        <v>176</v>
      </c>
      <c r="H12" s="56" t="s">
        <v>177</v>
      </c>
      <c r="I12" s="56" t="str">
        <f>'Input | Outputs'!D14</f>
        <v>Annual Payment Cap</v>
      </c>
      <c r="J12" s="56"/>
      <c r="K12"/>
    </row>
    <row r="13" spans="1:34" ht="15" x14ac:dyDescent="0.25">
      <c r="C13" s="74">
        <f>--IFERROR(--AND(--NOT(E13=""),--NOT(F13=""),--NOT(G13=""),--NOT(H13=""),--NOT(I13="")),IF(NOT(ISERROR(--AND(--NOT(E13=""),--NOT(F13=""),--NOT(G13=""),--NOT(H13=""),--NOT(I13="")))),TRUE,FALSE))</f>
        <v>1</v>
      </c>
      <c r="D13" s="19" t="s">
        <v>178</v>
      </c>
      <c r="E13" s="86" cm="1">
        <f t="array" ref="E13:E16">_xlfn.VSTACK(QRFQ1,QRFQ2,QRFQ3,QRFQ4)</f>
        <v>2400000</v>
      </c>
      <c r="F13" s="1" cm="1">
        <f t="array" ref="F13:F16">_xlfn.VSTACK(QRCQ1,QRCQ2,QRCQ3,QRCQ4)</f>
        <v>4800000</v>
      </c>
      <c r="G13" s="1" cm="1">
        <f t="array" ref="G13:G16">_xlfn.VSTACK(QNOR1,QNOR2,QNOR3,QNOR4)</f>
        <v>1500000</v>
      </c>
      <c r="H13" s="1">
        <f>SUM($G$13:$G13)</f>
        <v>1500000</v>
      </c>
      <c r="I13" s="1">
        <f>ZFY</f>
        <v>4000000</v>
      </c>
      <c r="J13" s="6"/>
    </row>
    <row r="14" spans="1:34" ht="15" x14ac:dyDescent="0.25">
      <c r="C14" s="74">
        <f>--IFERROR(--AND(--NOT(E14=""),--NOT(F14=""),--NOT(G14=""),--NOT(H14=""),--NOT(I14="")),IF(NOT(ISERROR(--AND(--NOT(E14=""),--NOT(F14=""),--NOT(G14=""),--NOT(H14=""),--NOT(I14="")))),TRUE,FALSE))</f>
        <v>1</v>
      </c>
      <c r="D14" s="19" t="s">
        <v>179</v>
      </c>
      <c r="E14" s="86">
        <v>2000000</v>
      </c>
      <c r="F14" s="1">
        <v>4000000</v>
      </c>
      <c r="G14" s="1">
        <v>1000000</v>
      </c>
      <c r="H14" s="1">
        <f>SUM($G$13:$G14)</f>
        <v>2500000</v>
      </c>
      <c r="I14" s="1">
        <f>ZFY</f>
        <v>4000000</v>
      </c>
      <c r="J14" s="6"/>
    </row>
    <row r="15" spans="1:34" ht="15" x14ac:dyDescent="0.25">
      <c r="C15" s="74">
        <f>--IFERROR(--AND(--NOT(E15=""),--NOT(F15=""),--NOT(G15=""),--NOT(H15=""),--NOT(I15="")),IF(NOT(ISERROR(--AND(--NOT(E15=""),--NOT(F15=""),--NOT(G15=""),--NOT(H15=""),--NOT(I15="")))),TRUE,FALSE))</f>
        <v>1</v>
      </c>
      <c r="D15" s="19" t="s">
        <v>180</v>
      </c>
      <c r="E15" s="86">
        <v>2400000</v>
      </c>
      <c r="F15" s="1">
        <v>4800000</v>
      </c>
      <c r="G15" s="1">
        <v>6000000</v>
      </c>
      <c r="H15" s="1">
        <f>SUM($G$13:$G15)</f>
        <v>8500000</v>
      </c>
      <c r="I15" s="1">
        <f>ZFY</f>
        <v>4000000</v>
      </c>
      <c r="J15" s="6"/>
    </row>
    <row r="16" spans="1:34" ht="15" x14ac:dyDescent="0.25">
      <c r="C16" s="74">
        <f>--IFERROR(--AND(--NOT(E16=""),--NOT(F16=""),--NOT(G16=""),--NOT(H16=""),--NOT(I16="")),IF(NOT(ISERROR(--AND(--NOT(E16=""),--NOT(F16=""),--NOT(G16=""),--NOT(H16=""),--NOT(I16="")))),TRUE,FALSE))</f>
        <v>1</v>
      </c>
      <c r="D16" s="19" t="s">
        <v>181</v>
      </c>
      <c r="E16" s="86">
        <v>4000000</v>
      </c>
      <c r="F16" s="1">
        <v>8000000</v>
      </c>
      <c r="G16" s="1">
        <v>4000000</v>
      </c>
      <c r="H16" s="1">
        <f>SUM($G$13:$G16)</f>
        <v>12500000</v>
      </c>
      <c r="I16" s="1">
        <f>ZFY</f>
        <v>4000000</v>
      </c>
      <c r="J16" s="6"/>
    </row>
    <row r="17" spans="2:28" ht="15" x14ac:dyDescent="0.25"/>
    <row r="18" spans="2:28" ht="15" x14ac:dyDescent="0.25"/>
    <row r="19" spans="2:28" s="14" customFormat="1" ht="14.25" customHeight="1" x14ac:dyDescent="0.25">
      <c r="C19" s="118">
        <v>5.1999999999999993</v>
      </c>
      <c r="D19" s="114" t="s">
        <v>182</v>
      </c>
      <c r="E19" s="116"/>
      <c r="F19" s="116"/>
      <c r="G19" s="116"/>
      <c r="H19" s="116"/>
      <c r="I19" s="46"/>
      <c r="J19" s="46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2:28" ht="15" x14ac:dyDescent="0.25"/>
    <row r="21" spans="2:28" ht="15" x14ac:dyDescent="0.25">
      <c r="C21" s="74">
        <f>--IFERROR(--NOT(E21=""),IF(NOT(ISERROR(--NOT(E21=""))),TRUE,FALSE))</f>
        <v>1</v>
      </c>
      <c r="D21" t="str">
        <f>'Input | Outputs'!D25</f>
        <v>Sum of Quarterly Payment Amounts payable by the Commonwealth</v>
      </c>
      <c r="E21" s="1">
        <f>'Input | Outputs'!H25</f>
        <v>1710000</v>
      </c>
    </row>
    <row r="22" spans="2:28" ht="15" x14ac:dyDescent="0.25">
      <c r="C22" s="74">
        <f>--IFERROR(--NOT(E22=""),IF(NOT(ISERROR(--NOT(E22=""))),TRUE,FALSE))</f>
        <v>1</v>
      </c>
      <c r="D22" t="str">
        <f>'Input | Outputs'!D27</f>
        <v>Sum of Quarterly Payment Amounts payable by the Project Operator</v>
      </c>
      <c r="E22" s="1">
        <f>-1*'Input | Outputs'!H27</f>
        <v>-600000</v>
      </c>
    </row>
    <row r="23" spans="2:28" ht="15" x14ac:dyDescent="0.25">
      <c r="C23" s="74">
        <f>--IFERROR(--NOT(E23=""),IF(NOT(ISERROR(--NOT(E23=""))),TRUE,FALSE))</f>
        <v>1</v>
      </c>
      <c r="D23" t="str">
        <f>'Input | Outputs'!D23</f>
        <v>Annual Adjustment Amount</v>
      </c>
      <c r="E23" s="1">
        <f>'Input | Outputs'!$H$29</f>
        <v>-1110000</v>
      </c>
    </row>
    <row r="24" spans="2:28" ht="15" x14ac:dyDescent="0.25">
      <c r="C24" s="74">
        <f>--IFERROR(--NOT(E24=""),IF(NOT(ISERROR(--NOT(E24=""))),TRUE,FALSE))</f>
        <v>1</v>
      </c>
      <c r="D24" t="str">
        <f>'Input | Outputs'!D31</f>
        <v>Net annual payments</v>
      </c>
      <c r="E24" s="1">
        <f>'Input | Outputs'!$H$31</f>
        <v>0</v>
      </c>
    </row>
    <row r="25" spans="2:28" ht="15" x14ac:dyDescent="0.25"/>
    <row r="26" spans="2:28" s="14" customFormat="1" ht="14.25" customHeight="1" x14ac:dyDescent="0.25">
      <c r="C26" s="118">
        <v>5.2999999999999989</v>
      </c>
      <c r="D26" s="114" t="s">
        <v>183</v>
      </c>
      <c r="E26" s="116"/>
      <c r="F26" s="116"/>
      <c r="G26" s="116"/>
      <c r="H26" s="116"/>
      <c r="I26" s="46"/>
      <c r="J26" s="4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2:28" ht="15" x14ac:dyDescent="0.25"/>
    <row r="28" spans="2:28" ht="15" x14ac:dyDescent="0.25">
      <c r="C28" s="74">
        <f>--IFERROR(--NOT(E28=""),IF(NOT(ISERROR(--NOT(E28=""))),TRUE,FALSE))</f>
        <v>1</v>
      </c>
      <c r="D28" s="19" t="s">
        <v>178</v>
      </c>
      <c r="E28" s="1">
        <f>Calculations!J49-Calculations!J50</f>
        <v>810000</v>
      </c>
    </row>
    <row r="29" spans="2:28" ht="15" x14ac:dyDescent="0.25">
      <c r="C29" s="74">
        <f>--IFERROR(--NOT(E29=""),IF(NOT(ISERROR(--NOT(E29=""))),TRUE,FALSE))</f>
        <v>1</v>
      </c>
      <c r="D29" s="19" t="s">
        <v>179</v>
      </c>
      <c r="E29" s="1">
        <f>Calculations!K49-Calculations!K50</f>
        <v>900000</v>
      </c>
    </row>
    <row r="30" spans="2:28" ht="15" x14ac:dyDescent="0.25">
      <c r="C30" s="74">
        <f>--IFERROR(--NOT(E30=""),IF(NOT(ISERROR(--NOT(E30=""))),TRUE,FALSE))</f>
        <v>1</v>
      </c>
      <c r="D30" s="19" t="s">
        <v>180</v>
      </c>
      <c r="E30" s="1">
        <f>Calculations!L49-Calculations!L50</f>
        <v>-600000</v>
      </c>
    </row>
    <row r="31" spans="2:28" ht="15" x14ac:dyDescent="0.25">
      <c r="C31" s="74">
        <f>--IFERROR(--NOT(E31=""),IF(NOT(ISERROR(--NOT(E31=""))),TRUE,FALSE))</f>
        <v>1</v>
      </c>
      <c r="D31" t="str">
        <f>'Input | Outputs'!D23</f>
        <v>Annual Adjustment Amount</v>
      </c>
      <c r="E31" s="1">
        <f>'Input | Outputs'!$H$29</f>
        <v>-1110000</v>
      </c>
      <c r="F31" s="28"/>
      <c r="G31" s="28"/>
    </row>
    <row r="32" spans="2:28" ht="15" x14ac:dyDescent="0.25">
      <c r="B32" s="27"/>
      <c r="C32" s="74">
        <f>--IFERROR(--NOT(E32=""),IF(NOT(ISERROR(--NOT(E32=""))),TRUE,FALSE))</f>
        <v>1</v>
      </c>
      <c r="D32" t="str">
        <f>'Input | Outputs'!D31</f>
        <v>Net annual payments</v>
      </c>
      <c r="E32" s="1">
        <f>'Input | Outputs'!$H$31</f>
        <v>0</v>
      </c>
      <c r="F32" s="27"/>
      <c r="G32" s="27"/>
    </row>
    <row r="33" spans="1:28" ht="15" x14ac:dyDescent="0.25"/>
    <row r="34" spans="1:28" s="14" customFormat="1" ht="14.25" customHeight="1" x14ac:dyDescent="0.25">
      <c r="C34" s="118">
        <v>5.4</v>
      </c>
      <c r="D34" s="114" t="s">
        <v>184</v>
      </c>
      <c r="E34" s="116"/>
      <c r="F34" s="116"/>
      <c r="G34" s="116"/>
      <c r="H34" s="116"/>
      <c r="I34" s="46"/>
      <c r="J34" s="46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" x14ac:dyDescent="0.25"/>
    <row r="36" spans="1:28" ht="15" x14ac:dyDescent="0.25">
      <c r="C36" s="74">
        <f>--IFERROR(--NOT(E36=""),IF(NOT(ISERROR(--NOT(E36=""))),TRUE,FALSE))</f>
        <v>1</v>
      </c>
      <c r="D36" t="str">
        <f>Calculations!D40</f>
        <v>Annual Net Operational Revenue</v>
      </c>
      <c r="E36" s="1">
        <f>ANORFY</f>
        <v>12500000</v>
      </c>
    </row>
    <row r="37" spans="1:28" ht="15" x14ac:dyDescent="0.25">
      <c r="C37" s="74">
        <f>--IFERROR(--NOT(E37=""),IF(NOT(ISERROR(--NOT(E37=""))),TRUE,FALSE))</f>
        <v>1</v>
      </c>
      <c r="D37" t="str">
        <f>Calculations!D24</f>
        <v>Annual Revenue Floor</v>
      </c>
      <c r="E37" s="1">
        <f>ARFFY</f>
        <v>10800000</v>
      </c>
    </row>
    <row r="38" spans="1:28" ht="15" x14ac:dyDescent="0.25">
      <c r="C38" s="74">
        <f>--IFERROR(--NOT(E38=""),IF(NOT(ISERROR(--NOT(E38=""))),TRUE,FALSE))</f>
        <v>1</v>
      </c>
      <c r="D38" t="str">
        <f>Calculations!D28</f>
        <v>Annual Revenue Ceiling</v>
      </c>
      <c r="E38" s="1">
        <f>ARCFY</f>
        <v>21600000</v>
      </c>
    </row>
    <row r="39" spans="1:28" ht="15" x14ac:dyDescent="0.25">
      <c r="C39" s="74">
        <f>--IFERROR(--NOT(E39=""),IF(NOT(ISERROR(--NOT(E39=""))),TRUE,FALSE))</f>
        <v>1</v>
      </c>
      <c r="D39" t="str">
        <f>'Input | Outputs'!D31</f>
        <v>Net annual payments</v>
      </c>
      <c r="E39" s="1">
        <f>'Input | Outputs'!$H$31</f>
        <v>0</v>
      </c>
    </row>
    <row r="40" spans="1:28" ht="15" x14ac:dyDescent="0.25">
      <c r="B40" s="27"/>
      <c r="C40" s="27"/>
      <c r="D40" s="27"/>
      <c r="E40" s="27"/>
      <c r="F40" s="27"/>
      <c r="G40" s="27"/>
    </row>
    <row r="41" spans="1:28" s="45" customFormat="1" ht="15" x14ac:dyDescent="0.25">
      <c r="A41" s="45" t="s">
        <v>1</v>
      </c>
      <c r="B41" s="46"/>
      <c r="C41" s="46"/>
      <c r="D41" s="46"/>
      <c r="E41" s="46"/>
      <c r="K41"/>
    </row>
    <row r="49" customFormat="1" ht="14.45" hidden="1" customHeight="1" x14ac:dyDescent="0.25"/>
    <row r="50" customFormat="1" ht="14.45" hidden="1" customHeight="1" x14ac:dyDescent="0.25"/>
    <row r="51" customFormat="1" ht="14.45" hidden="1" customHeight="1" x14ac:dyDescent="0.25"/>
    <row r="52" customFormat="1" ht="14.45" hidden="1" customHeight="1" x14ac:dyDescent="0.25"/>
    <row r="53" customFormat="1" ht="14.45" hidden="1" customHeight="1" x14ac:dyDescent="0.25"/>
  </sheetData>
  <hyperlinks>
    <hyperlink ref="A1" location="Back_to_Start" display="Back" xr:uid="{FDA0AD17-5588-4727-978E-BB71180AB36B}"/>
  </hyperlinks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6B67-7E72-4EA6-8911-130ED71CCC5A}">
  <sheetPr codeName="Sheet5">
    <tabColor theme="0" tint="-0.499984740745262"/>
  </sheetPr>
  <dimension ref="A1:AB35"/>
  <sheetViews>
    <sheetView showGridLines="0" workbookViewId="0">
      <selection activeCell="D18" sqref="D18"/>
    </sheetView>
  </sheetViews>
  <sheetFormatPr defaultColWidth="0" defaultRowHeight="15" zeroHeight="1" x14ac:dyDescent="0.25"/>
  <cols>
    <col min="1" max="2" width="3.28515625" customWidth="1"/>
    <col min="3" max="3" width="6.7109375" customWidth="1"/>
    <col min="4" max="4" width="24.28515625" customWidth="1"/>
    <col min="5" max="6" width="9.28515625" customWidth="1"/>
    <col min="7" max="7" width="3" customWidth="1"/>
    <col min="8" max="8" width="45" bestFit="1" customWidth="1"/>
    <col min="9" max="9" width="9.28515625" customWidth="1"/>
    <col min="10" max="10" width="14.28515625" bestFit="1" customWidth="1"/>
    <col min="11" max="15" width="9.28515625" customWidth="1"/>
    <col min="16" max="26" width="9.28515625" hidden="1" customWidth="1"/>
    <col min="27" max="27" width="5.7109375" hidden="1" customWidth="1"/>
    <col min="28" max="28" width="6.28515625" hidden="1" customWidth="1"/>
    <col min="29" max="16384" width="9.28515625" hidden="1"/>
  </cols>
  <sheetData>
    <row r="1" spans="1:14" s="30" customFormat="1" ht="15.75" x14ac:dyDescent="0.25">
      <c r="A1" s="50" t="s">
        <v>27</v>
      </c>
      <c r="C1" s="33"/>
      <c r="D1" s="32" t="str">
        <f>Model_Name</f>
        <v>Capacity Investment Scheme NEM Generation - Draft</v>
      </c>
      <c r="E1" s="31"/>
      <c r="F1" s="31"/>
      <c r="G1" s="31"/>
      <c r="H1" s="31"/>
    </row>
    <row r="2" spans="1:14" s="51" customFormat="1" ht="15.75" x14ac:dyDescent="0.25">
      <c r="A2" s="34"/>
      <c r="B2" s="35">
        <f ca="1">_xlfn.SHEET()</f>
        <v>6</v>
      </c>
      <c r="C2" s="35" t="str" cm="1">
        <f t="array" aca="1" ref="C2" ca="1">_xlfn.TEXTAFTER(CELL("filename",A1),"]")</f>
        <v>Table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s="30" customFormat="1" x14ac:dyDescent="0.25">
      <c r="A3" s="33"/>
    </row>
    <row r="4" spans="1:14" s="30" customFormat="1" x14ac:dyDescent="0.25">
      <c r="B4" s="38"/>
      <c r="C4" s="40"/>
      <c r="D4" s="39"/>
    </row>
    <row r="5" spans="1:14" s="30" customFormat="1" x14ac:dyDescent="0.25">
      <c r="A5" s="37"/>
      <c r="C5" s="40"/>
      <c r="D5" s="39"/>
    </row>
    <row r="6" spans="1:14" s="30" customFormat="1" x14ac:dyDescent="0.25">
      <c r="A6" s="37"/>
      <c r="C6" s="74">
        <f>--AND('Input | Outputs'!C6,Calculations!C6,Graph!C6)</f>
        <v>1</v>
      </c>
      <c r="D6" s="75" t="str">
        <f>IF(C6,"All key input fields complete","Calculations input incomplete")</f>
        <v>All key input fields complete</v>
      </c>
    </row>
    <row r="7" spans="1:14" s="30" customFormat="1" x14ac:dyDescent="0.25">
      <c r="A7" s="37"/>
      <c r="C7" s="39"/>
      <c r="D7" s="39"/>
    </row>
    <row r="8" spans="1:14" s="30" customFormat="1" x14ac:dyDescent="0.25">
      <c r="A8" s="37"/>
    </row>
    <row r="9" spans="1:14" ht="5.0999999999999996" customHeight="1" x14ac:dyDescent="0.25">
      <c r="A9" s="17"/>
      <c r="B9" s="17"/>
      <c r="C9" s="17"/>
      <c r="D9" s="15"/>
      <c r="E9" s="16"/>
      <c r="F9" s="16"/>
      <c r="G9" s="16"/>
      <c r="J9" s="16"/>
    </row>
    <row r="10" spans="1:14" x14ac:dyDescent="0.25">
      <c r="C10" s="47">
        <v>6.1</v>
      </c>
      <c r="D10" s="48" t="s">
        <v>185</v>
      </c>
      <c r="E10" s="48"/>
      <c r="F10" s="48" t="s">
        <v>33</v>
      </c>
      <c r="G10" s="48"/>
      <c r="H10" s="48" t="s">
        <v>186</v>
      </c>
      <c r="I10" s="48"/>
      <c r="J10" s="48" t="s">
        <v>187</v>
      </c>
      <c r="K10" s="48"/>
      <c r="L10" s="48"/>
      <c r="M10" s="48"/>
      <c r="N10" s="48"/>
    </row>
    <row r="11" spans="1:14" x14ac:dyDescent="0.25">
      <c r="C11" s="19"/>
    </row>
    <row r="12" spans="1:14" x14ac:dyDescent="0.25">
      <c r="C12" s="80" t="s">
        <v>188</v>
      </c>
      <c r="D12" s="7" t="s">
        <v>189</v>
      </c>
    </row>
    <row r="13" spans="1:14" x14ac:dyDescent="0.25">
      <c r="C13" s="80"/>
      <c r="D13" s="7"/>
    </row>
    <row r="14" spans="1:14" x14ac:dyDescent="0.25">
      <c r="C14" s="19" t="s">
        <v>190</v>
      </c>
      <c r="D14" s="7"/>
      <c r="H14" s="42" t="s">
        <v>191</v>
      </c>
      <c r="J14" s="12" t="s">
        <v>192</v>
      </c>
    </row>
    <row r="15" spans="1:14" x14ac:dyDescent="0.25">
      <c r="C15" s="19"/>
    </row>
    <row r="16" spans="1:14" x14ac:dyDescent="0.25">
      <c r="C16" s="44" t="s">
        <v>193</v>
      </c>
      <c r="D16" s="18" t="s">
        <v>194</v>
      </c>
    </row>
    <row r="17" spans="3:10" x14ac:dyDescent="0.25"/>
    <row r="18" spans="3:10" x14ac:dyDescent="0.25">
      <c r="C18" t="s">
        <v>195</v>
      </c>
      <c r="F18" s="2" t="s">
        <v>196</v>
      </c>
      <c r="H18" s="42">
        <v>1</v>
      </c>
      <c r="J18" s="12" t="s">
        <v>197</v>
      </c>
    </row>
    <row r="19" spans="3:10" x14ac:dyDescent="0.25">
      <c r="C19" t="s">
        <v>198</v>
      </c>
      <c r="F19" s="2" t="s">
        <v>196</v>
      </c>
      <c r="H19" s="42">
        <v>0</v>
      </c>
      <c r="J19" s="12" t="s">
        <v>199</v>
      </c>
    </row>
    <row r="20" spans="3:10" x14ac:dyDescent="0.25">
      <c r="C20" t="s">
        <v>200</v>
      </c>
      <c r="F20" s="2" t="s">
        <v>196</v>
      </c>
      <c r="H20" s="42">
        <v>1000</v>
      </c>
      <c r="J20" s="12" t="s">
        <v>201</v>
      </c>
    </row>
    <row r="21" spans="3:10" x14ac:dyDescent="0.25">
      <c r="C21" t="s">
        <v>202</v>
      </c>
      <c r="F21" s="2" t="s">
        <v>196</v>
      </c>
      <c r="H21" s="42">
        <v>1</v>
      </c>
      <c r="J21" s="12" t="s">
        <v>203</v>
      </c>
    </row>
    <row r="22" spans="3:10" x14ac:dyDescent="0.25">
      <c r="C22" t="s">
        <v>204</v>
      </c>
      <c r="F22" s="2" t="s">
        <v>196</v>
      </c>
      <c r="H22" s="42">
        <v>0.1</v>
      </c>
      <c r="J22" s="12" t="s">
        <v>205</v>
      </c>
    </row>
    <row r="23" spans="3:10" x14ac:dyDescent="0.25">
      <c r="C23" t="s">
        <v>206</v>
      </c>
      <c r="F23" s="2" t="s">
        <v>196</v>
      </c>
      <c r="H23" s="42">
        <v>0.01</v>
      </c>
      <c r="J23" s="12" t="s">
        <v>207</v>
      </c>
    </row>
    <row r="24" spans="3:10" x14ac:dyDescent="0.25">
      <c r="C24" t="s">
        <v>208</v>
      </c>
      <c r="E24" s="2"/>
      <c r="F24" s="2" t="s">
        <v>86</v>
      </c>
      <c r="H24" s="24">
        <v>1</v>
      </c>
      <c r="J24" s="12" t="s">
        <v>209</v>
      </c>
    </row>
    <row r="25" spans="3:10" x14ac:dyDescent="0.25"/>
    <row r="26" spans="3:10" x14ac:dyDescent="0.25">
      <c r="C26" s="44" t="s">
        <v>210</v>
      </c>
      <c r="D26" s="18" t="s">
        <v>211</v>
      </c>
    </row>
    <row r="27" spans="3:10" x14ac:dyDescent="0.25"/>
    <row r="28" spans="3:10" x14ac:dyDescent="0.25">
      <c r="C28" t="s">
        <v>212</v>
      </c>
      <c r="F28" s="2" t="s">
        <v>196</v>
      </c>
      <c r="H28" s="26">
        <v>4</v>
      </c>
      <c r="J28" s="12" t="s">
        <v>213</v>
      </c>
    </row>
    <row r="29" spans="3:10" x14ac:dyDescent="0.25"/>
    <row r="30" spans="3:10" x14ac:dyDescent="0.25">
      <c r="C30" s="44" t="s">
        <v>214</v>
      </c>
      <c r="D30" s="18" t="s">
        <v>185</v>
      </c>
    </row>
    <row r="31" spans="3:10" x14ac:dyDescent="0.25"/>
    <row r="32" spans="3:10" x14ac:dyDescent="0.25">
      <c r="C32" t="s">
        <v>84</v>
      </c>
      <c r="F32" s="2" t="s">
        <v>86</v>
      </c>
      <c r="H32" s="24">
        <f>support_percentage</f>
        <v>0.9</v>
      </c>
      <c r="J32" s="12" t="s">
        <v>215</v>
      </c>
    </row>
    <row r="33" spans="1:10" x14ac:dyDescent="0.25">
      <c r="C33" t="s">
        <v>89</v>
      </c>
      <c r="F33" s="2" t="s">
        <v>86</v>
      </c>
      <c r="H33" s="24">
        <f>sharing_percentage</f>
        <v>0.5</v>
      </c>
      <c r="J33" s="12" t="s">
        <v>216</v>
      </c>
    </row>
    <row r="34" spans="1:10" x14ac:dyDescent="0.25"/>
    <row r="35" spans="1:10" s="45" customFormat="1" x14ac:dyDescent="0.25">
      <c r="A35" s="45" t="s">
        <v>1</v>
      </c>
      <c r="B35" s="46"/>
      <c r="C35" s="46"/>
      <c r="D35" s="46"/>
      <c r="E35" s="46"/>
    </row>
  </sheetData>
  <dataValidations disablePrompts="1" count="2">
    <dataValidation type="decimal" operator="equal" allowBlank="1" showInputMessage="1" showErrorMessage="1" sqref="H24" xr:uid="{EE6054AB-9A6F-4179-BE2C-2104AA2466B7}">
      <formula1>1</formula1>
    </dataValidation>
    <dataValidation type="whole" operator="equal" allowBlank="1" showInputMessage="1" showErrorMessage="1" sqref="H28" xr:uid="{5469F1CC-A289-4CC8-8BB7-18EC25BD6FF1}">
      <formula1>4</formula1>
    </dataValidation>
  </dataValidations>
  <hyperlinks>
    <hyperlink ref="A1" location="Back_to_Start" display="Back" xr:uid="{AFAFBCC5-2F92-4BEE-955C-57AAA04E2514}"/>
  </hyperlinks>
  <pageMargins left="0.7" right="0.7" top="0.75" bottom="0.75" header="0.3" footer="0.3"/>
  <pageSetup paperSize="9" orientation="portrait" r:id="rId1"/>
  <headerFooter>
    <oddHeader>&amp;C&amp;"Calibri"&amp;12&amp;KFF0000 OFFICIAL&amp;1#_x000D_&amp;"Calibri"&amp;11&amp;K000000&amp;G</oddHeader>
    <oddFooter>&amp;C_x000D_&amp;1#&amp;"Calibri"&amp;12&amp;KFF0000 OFFICIAL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3e8ba7a3-af95-40f6-9ded-4ebe13adeb29" ContentTypeId="0x0101002F0B48F8F4F7904196E710056827A096" PreviousValue="false" LastSyncTimeStamp="2022-01-31T11:36:03.467Z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36bc6de0bf403e9ed4dec84c72e21e xmlns="5d1a2284-45bc-4927-a9f9-e51f9f17c21a">
      <Terms xmlns="http://schemas.microsoft.com/office/infopath/2007/PartnerControls"/>
    </fc36bc6de0bf403e9ed4dec84c72e21e>
    <TaxCatchAll xmlns="5d1a2284-45bc-4927-a9f9-e51f9f17c21a" xsi:nil="true"/>
    <TaxKeywordTaxHTField xmlns="5d1a2284-45bc-4927-a9f9-e51f9f17c21a">
      <Terms xmlns="http://schemas.microsoft.com/office/infopath/2007/PartnerControls"/>
    </TaxKeywordTaxHTFiel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EMO Collaboration Document" ma:contentTypeID="0x0101002F0B48F8F4F7904196E710056827A09600BB8B1C2C6AAFB34C8A12361819ECC5AD" ma:contentTypeVersion="4" ma:contentTypeDescription="" ma:contentTypeScope="" ma:versionID="fa07f130e878ddc5caf71ce822c3a113">
  <xsd:schema xmlns:xsd="http://www.w3.org/2001/XMLSchema" xmlns:xs="http://www.w3.org/2001/XMLSchema" xmlns:p="http://schemas.microsoft.com/office/2006/metadata/properties" xmlns:ns2="5d1a2284-45bc-4927-a9f9-e51f9f17c21a" targetNamespace="http://schemas.microsoft.com/office/2006/metadata/properties" ma:root="true" ma:fieldsID="0f175fe418400be78ac54b3a9125c1bd" ns2:_=""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fc36bc6de0bf403e9ed4dec84c72e21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021f9f8-b6c0-48aa-a2d6-c53fc561d77c}" ma:internalName="TaxCatchAll" ma:showField="CatchAllData" ma:web="6b610cd5-3902-4430-9bb9-a585ce316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021f9f8-b6c0-48aa-a2d6-c53fc561d77c}" ma:internalName="TaxCatchAllLabel" ma:readOnly="true" ma:showField="CatchAllDataLabel" ma:web="6b610cd5-3902-4430-9bb9-a585ce316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c36bc6de0bf403e9ed4dec84c72e21e" ma:index="12" nillable="true" ma:taxonomy="true" ma:internalName="fc36bc6de0bf403e9ed4dec84c72e21e" ma:taxonomyFieldName="AEMO_x0020_Collaboration_x0020_Document_x0020_Type" ma:displayName="AEMO Collaboration Document Type" ma:default="" ma:fieldId="{fc36bc6d-e0bf-403e-9ed4-dec84c72e21e}" ma:sspId="3e8ba7a3-af95-40f6-9ded-4ebe13adeb29" ma:termSetId="559df48e-15e2-45fa-a2d5-de60d483ab8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3EAB13-0047-4DBC-AB93-5F8058DD1C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65A47-17EB-4C68-89D5-8A33A4B5073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945F705-1A0D-409C-9686-D6472657A518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5d1a2284-45bc-4927-a9f9-e51f9f17c21a"/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0D743C2-F1C3-4B18-B63E-621370DE9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a2284-45bc-4927-a9f9-e51f9f17c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6a1c6b2-52d5-49b7-9598-2998b6301fb2}" enabled="1" method="Privileged" siteId="{8c3c81bc-2b3c-44af-b3f7-6f620b3910ee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48</vt:i4>
      </vt:variant>
    </vt:vector>
  </HeadingPairs>
  <TitlesOfParts>
    <vt:vector size="54" baseType="lpstr">
      <vt:lpstr>Disclaimer</vt:lpstr>
      <vt:lpstr>Instructions</vt:lpstr>
      <vt:lpstr>Input | Outputs</vt:lpstr>
      <vt:lpstr>Calculations</vt:lpstr>
      <vt:lpstr>Graph</vt:lpstr>
      <vt:lpstr>Table</vt:lpstr>
      <vt:lpstr>∑CQPAFY</vt:lpstr>
      <vt:lpstr>∑OQPAFY</vt:lpstr>
      <vt:lpstr>AAAFY</vt:lpstr>
      <vt:lpstr>AAAFY_ARC</vt:lpstr>
      <vt:lpstr>Calculations!AAAFY_ARF</vt:lpstr>
      <vt:lpstr>AAASY_ARC</vt:lpstr>
      <vt:lpstr>AAASY_ARF</vt:lpstr>
      <vt:lpstr>ACFY</vt:lpstr>
      <vt:lpstr>AFFY</vt:lpstr>
      <vt:lpstr>Annual_Revenue_Ceiling</vt:lpstr>
      <vt:lpstr>Annual_Revenue_Floor</vt:lpstr>
      <vt:lpstr>ANORFY</vt:lpstr>
      <vt:lpstr>ARCFY</vt:lpstr>
      <vt:lpstr>ARFFY</vt:lpstr>
      <vt:lpstr>Back_to_Start</vt:lpstr>
      <vt:lpstr>c_maxpct</vt:lpstr>
      <vt:lpstr>c_QiY</vt:lpstr>
      <vt:lpstr>Model_Name</vt:lpstr>
      <vt:lpstr>One</vt:lpstr>
      <vt:lpstr>QNOR1</vt:lpstr>
      <vt:lpstr>QNOR2</vt:lpstr>
      <vt:lpstr>QNOR3</vt:lpstr>
      <vt:lpstr>QNOR4</vt:lpstr>
      <vt:lpstr>QRC_q1</vt:lpstr>
      <vt:lpstr>QRC_q2</vt:lpstr>
      <vt:lpstr>QRC_q3</vt:lpstr>
      <vt:lpstr>QRC_q4</vt:lpstr>
      <vt:lpstr>QRCQ1</vt:lpstr>
      <vt:lpstr>QRCQ2</vt:lpstr>
      <vt:lpstr>QRCQ3</vt:lpstr>
      <vt:lpstr>QRCQ4</vt:lpstr>
      <vt:lpstr>QRF_q1</vt:lpstr>
      <vt:lpstr>QRF_q2</vt:lpstr>
      <vt:lpstr>QRF_q3</vt:lpstr>
      <vt:lpstr>QRF_q4</vt:lpstr>
      <vt:lpstr>QRFQ1</vt:lpstr>
      <vt:lpstr>QRFQ2</vt:lpstr>
      <vt:lpstr>QRFQ3</vt:lpstr>
      <vt:lpstr>QRFQ4</vt:lpstr>
      <vt:lpstr>Sbsxn</vt:lpstr>
      <vt:lpstr>sharing_percentage</vt:lpstr>
      <vt:lpstr>Sht</vt:lpstr>
      <vt:lpstr>support_percentage</vt:lpstr>
      <vt:lpstr>Sxn</vt:lpstr>
      <vt:lpstr>Thousand</vt:lpstr>
      <vt:lpstr>Calculations!XSY</vt:lpstr>
      <vt:lpstr>Zero</vt:lpstr>
      <vt:lpstr>ZFY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Dispatchable CISA Payment Mechanism</dc:title>
  <dc:subject/>
  <dc:creator>McKinnon, Fergus</dc:creator>
  <cp:keywords/>
  <dc:description/>
  <cp:lastModifiedBy>Fergus MCKINNON</cp:lastModifiedBy>
  <cp:revision/>
  <dcterms:created xsi:type="dcterms:W3CDTF">2023-08-16T22:15:39Z</dcterms:created>
  <dcterms:modified xsi:type="dcterms:W3CDTF">2024-08-22T08:23:28Z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0x0101002F0B48F8F4F7904196E710056827A09600BB8B1C2C6AAFB34C8A12361819ECC5AD</vt:lpwstr>
  </property>
  <property fmtid="{D5CDD505-2E9C-101B-9397-08002B2CF9AE}" pid="3" name="MediaServiceImageTags">
    <vt:lpwstr/>
  </property>
  <property fmtid="{D5CDD505-2E9C-101B-9397-08002B2CF9AE}" pid="4" name="MSIP_Label_c1941c47-a837-430d-8559-fd118a72769e_Enabled">
    <vt:lpwstr>true</vt:lpwstr>
  </property>
  <property fmtid="{D5CDD505-2E9C-101B-9397-08002B2CF9AE}" pid="5" name="MSIP_Label_c1941c47-a837-430d-8559-fd118a72769e_SetDate">
    <vt:lpwstr>2023-11-30T05:57:29Z</vt:lpwstr>
  </property>
  <property fmtid="{D5CDD505-2E9C-101B-9397-08002B2CF9AE}" pid="6" name="MSIP_Label_c1941c47-a837-430d-8559-fd118a72769e_Method">
    <vt:lpwstr>Standard</vt:lpwstr>
  </property>
  <property fmtid="{D5CDD505-2E9C-101B-9397-08002B2CF9AE}" pid="7" name="MSIP_Label_c1941c47-a837-430d-8559-fd118a72769e_Name">
    <vt:lpwstr>Internal</vt:lpwstr>
  </property>
  <property fmtid="{D5CDD505-2E9C-101B-9397-08002B2CF9AE}" pid="8" name="MSIP_Label_c1941c47-a837-430d-8559-fd118a72769e_SiteId">
    <vt:lpwstr>320c999e-3876-4ad0-b401-d241068e9e60</vt:lpwstr>
  </property>
  <property fmtid="{D5CDD505-2E9C-101B-9397-08002B2CF9AE}" pid="9" name="MSIP_Label_c1941c47-a837-430d-8559-fd118a72769e_ActionId">
    <vt:lpwstr>63efb465-ace1-43ee-842a-19d8b4fe95d1</vt:lpwstr>
  </property>
  <property fmtid="{D5CDD505-2E9C-101B-9397-08002B2CF9AE}" pid="10" name="MSIP_Label_c1941c47-a837-430d-8559-fd118a72769e_ContentBits">
    <vt:lpwstr>0</vt:lpwstr>
  </property>
  <property fmtid="{D5CDD505-2E9C-101B-9397-08002B2CF9AE}" pid="11" name="TaxKeyword">
    <vt:lpwstr/>
  </property>
  <property fmtid="{D5CDD505-2E9C-101B-9397-08002B2CF9AE}" pid="12" name="AEMO Collaboration Document Type">
    <vt:lpwstr/>
  </property>
  <property fmtid="{D5CDD505-2E9C-101B-9397-08002B2CF9AE}" pid="13" name="lcf76f155ced4ddcb4097134ff3c332f">
    <vt:lpwstr/>
  </property>
</Properties>
</file>